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6.xml" ContentType="application/vnd.openxmlformats-officedocument.themeOverride+xml"/>
  <Override PartName="/xl/drawings/drawing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codeName="ThisWorkbook"/>
  <mc:AlternateContent xmlns:mc="http://schemas.openxmlformats.org/markup-compatibility/2006">
    <mc:Choice Requires="x15">
      <x15ac:absPath xmlns:x15ac="http://schemas.microsoft.com/office/spreadsheetml/2010/11/ac" url="C:\Users\PERSONAL\Desktop\Laura\Enero-Junio\Documentos\Publicación de documentos\RT03\"/>
    </mc:Choice>
  </mc:AlternateContent>
  <xr:revisionPtr revIDLastSave="0" documentId="13_ncr:1_{D1EE8846-CEB9-457C-AEF1-2803018D1750}" xr6:coauthVersionLast="46" xr6:coauthVersionMax="46" xr10:uidLastSave="{00000000-0000-0000-0000-000000000000}"/>
  <workbookProtection workbookPassword="E9FB" lockStructure="1"/>
  <bookViews>
    <workbookView xWindow="-120" yWindow="-120" windowWidth="20730" windowHeight="11160" tabRatio="613" firstSheet="5" activeTab="5" xr2:uid="{00000000-000D-0000-FFFF-FFFF00000000}"/>
  </bookViews>
  <sheets>
    <sheet name="DATOS % " sheetId="15" state="hidden" r:id="rId1"/>
    <sheet name="RT03-F12 %" sheetId="8" state="hidden" r:id="rId2"/>
    <sheet name=" CMC %" sheetId="25" state="hidden" r:id="rId3"/>
    <sheet name="Pc % " sheetId="30" state="hidden" r:id="rId4"/>
    <sheet name="Max y MIN %" sheetId="28" state="hidden" r:id="rId5"/>
    <sheet name=" RT03-F15 %" sheetId="18" r:id="rId6"/>
    <sheet name=" RT03-F39 %" sheetId="33" state="hidden" r:id="rId7"/>
    <sheet name="RT03-F18  %" sheetId="35" state="hidden" r:id="rId8"/>
  </sheets>
  <externalReferences>
    <externalReference r:id="rId9"/>
    <externalReference r:id="rId10"/>
    <externalReference r:id="rId11"/>
  </externalReferences>
  <definedNames>
    <definedName name="a1_">'[1]APROXIMACION LINEL'!$C$21</definedName>
    <definedName name="_xlnm.Print_Area" localSheetId="2">' CMC %'!$A$1:$K$32</definedName>
    <definedName name="_xlnm.Print_Area" localSheetId="5">' RT03-F15 %'!$A$1:$G$175</definedName>
    <definedName name="_xlnm.Print_Area" localSheetId="6">' RT03-F39 %'!$A$1:$G$174</definedName>
    <definedName name="_xlnm.Print_Area" localSheetId="4">'Max y MIN %'!$A$1:$F$21</definedName>
    <definedName name="_xlnm.Print_Area" localSheetId="3">'Pc % '!$A$1:$Q$43</definedName>
    <definedName name="_xlnm.Print_Area" localSheetId="1">'RT03-F12 %'!$A$1:$Q$146</definedName>
    <definedName name="_xlnm.Print_Area" localSheetId="7">'RT03-F18  %'!$A$1:$K$112</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5">' RT03-F15 %'!$A$1:$G$174</definedName>
    <definedName name="Print_Area" localSheetId="6">' RT03-F39 %'!$A$1:$G$173</definedName>
    <definedName name="Print_Area" localSheetId="0">'DATOS % '!$A$1:$T$168</definedName>
    <definedName name="Print_Area" localSheetId="1">'RT03-F12 %'!$A$1:$L$148</definedName>
    <definedName name="Print_Titles" localSheetId="5">' RT03-F15 %'!$1:$1</definedName>
    <definedName name="Print_Titles" localSheetId="6">' RT03-F39 %'!$1:$1</definedName>
    <definedName name="Print_Titles" localSheetId="1">'RT03-F12 %'!$1:$3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8" i="33" l="1"/>
  <c r="J21" i="8" l="1"/>
  <c r="I21" i="8"/>
  <c r="H21" i="8"/>
  <c r="G21" i="8"/>
  <c r="E93" i="33" s="1"/>
  <c r="E94" i="18" l="1"/>
  <c r="E34" i="8"/>
  <c r="F81" i="8"/>
  <c r="B55" i="8"/>
  <c r="F70" i="8"/>
  <c r="K95" i="8" l="1"/>
  <c r="N130" i="8"/>
  <c r="G6" i="8" l="1"/>
  <c r="H6" i="8"/>
  <c r="I6" i="8"/>
  <c r="I9" i="8"/>
  <c r="I10" i="8"/>
  <c r="I11" i="8"/>
  <c r="I12" i="8"/>
  <c r="I13" i="8"/>
  <c r="I14" i="8"/>
  <c r="I15" i="8"/>
  <c r="G22" i="8"/>
  <c r="I22" i="8"/>
  <c r="G81" i="8" s="1"/>
  <c r="J22" i="8"/>
  <c r="G23" i="8"/>
  <c r="J23" i="8"/>
  <c r="G24" i="8"/>
  <c r="J24" i="8"/>
  <c r="G25" i="8"/>
  <c r="J25" i="8"/>
  <c r="L32" i="8"/>
  <c r="G37" i="8"/>
  <c r="G38" i="8" s="1"/>
  <c r="I55" i="8"/>
  <c r="J55" i="8" s="1"/>
  <c r="N55" i="8"/>
  <c r="I56" i="8"/>
  <c r="J56" i="8" s="1"/>
  <c r="I57" i="8"/>
  <c r="J57" i="8" s="1"/>
  <c r="I58" i="8"/>
  <c r="J58" i="8" s="1"/>
  <c r="I59" i="8"/>
  <c r="J59" i="8" s="1"/>
  <c r="L74" i="8"/>
  <c r="G75" i="8"/>
  <c r="H75" i="8"/>
  <c r="I75" i="8"/>
  <c r="J75" i="8"/>
  <c r="G89" i="8"/>
  <c r="H89" i="8"/>
  <c r="I89" i="8"/>
  <c r="J89" i="8"/>
  <c r="G90" i="8"/>
  <c r="H90" i="8"/>
  <c r="I90" i="8"/>
  <c r="J90" i="8"/>
  <c r="G91" i="8"/>
  <c r="H91" i="8"/>
  <c r="I91" i="8"/>
  <c r="J91" i="8"/>
  <c r="H118" i="8"/>
  <c r="R131" i="8"/>
  <c r="U131" i="8" s="1"/>
  <c r="J75" i="35"/>
  <c r="J45" i="35"/>
  <c r="I108" i="35"/>
  <c r="I107" i="35"/>
  <c r="B108" i="35"/>
  <c r="B107" i="35"/>
  <c r="J70" i="8" l="1"/>
  <c r="E97" i="33"/>
  <c r="N133" i="8"/>
  <c r="R134" i="8" s="1"/>
  <c r="U134" i="8" s="1"/>
  <c r="E96" i="33"/>
  <c r="H70" i="8"/>
  <c r="E95" i="33"/>
  <c r="G70" i="8"/>
  <c r="E94" i="33"/>
  <c r="F80" i="8"/>
  <c r="N131" i="8"/>
  <c r="R132" i="8" s="1"/>
  <c r="R136" i="8" s="1"/>
  <c r="V131" i="8" s="1"/>
  <c r="I70" i="8"/>
  <c r="K98" i="8"/>
  <c r="K96" i="8"/>
  <c r="K97" i="8"/>
  <c r="N132" i="8"/>
  <c r="R133" i="8" s="1"/>
  <c r="U133" i="8" s="1"/>
  <c r="N134" i="8"/>
  <c r="R135" i="8" s="1"/>
  <c r="U135" i="8" s="1"/>
  <c r="G80" i="8"/>
  <c r="K99" i="8"/>
  <c r="F75" i="8"/>
  <c r="U132" i="8" l="1"/>
  <c r="U136" i="8" s="1"/>
  <c r="E169" i="18"/>
  <c r="E168" i="18"/>
  <c r="A169" i="18"/>
  <c r="A168" i="18"/>
  <c r="F91" i="8"/>
  <c r="F89" i="8"/>
  <c r="E168" i="33" l="1"/>
  <c r="A168" i="33"/>
  <c r="E167" i="33"/>
  <c r="A167" i="33"/>
  <c r="C98" i="33"/>
  <c r="C97" i="33"/>
  <c r="C96" i="33"/>
  <c r="C95" i="33"/>
  <c r="C94" i="33"/>
  <c r="E86" i="33"/>
  <c r="D86" i="33"/>
  <c r="C86" i="33"/>
  <c r="A86" i="33"/>
  <c r="E85" i="33"/>
  <c r="D85" i="33"/>
  <c r="C85" i="33"/>
  <c r="A85" i="33"/>
  <c r="E84" i="33"/>
  <c r="D84" i="33"/>
  <c r="C84" i="33"/>
  <c r="A84" i="33"/>
  <c r="E83" i="33"/>
  <c r="D83" i="33"/>
  <c r="C83" i="33"/>
  <c r="A83" i="33"/>
  <c r="E82" i="33"/>
  <c r="D82" i="33"/>
  <c r="C82" i="33"/>
  <c r="A82" i="33"/>
  <c r="E81" i="33"/>
  <c r="D81" i="33"/>
  <c r="C81" i="33"/>
  <c r="A81" i="33"/>
  <c r="E80" i="33"/>
  <c r="D80" i="33"/>
  <c r="C80" i="33"/>
  <c r="A80" i="33"/>
  <c r="E79" i="33"/>
  <c r="D79" i="33"/>
  <c r="C79" i="33"/>
  <c r="A79" i="33"/>
  <c r="E78" i="33"/>
  <c r="D78" i="33"/>
  <c r="C78" i="33"/>
  <c r="A78" i="33"/>
  <c r="E77" i="33"/>
  <c r="D77" i="33"/>
  <c r="C77" i="33"/>
  <c r="A77" i="33"/>
  <c r="A75" i="33"/>
  <c r="C63" i="33"/>
  <c r="A63" i="33"/>
  <c r="C62" i="33"/>
  <c r="A62" i="33"/>
  <c r="C61" i="33"/>
  <c r="A61" i="33"/>
  <c r="C60" i="33"/>
  <c r="A60" i="33"/>
  <c r="C59" i="33"/>
  <c r="A59" i="33"/>
  <c r="C58" i="33"/>
  <c r="A58" i="33"/>
  <c r="D57" i="33"/>
  <c r="A57" i="33"/>
  <c r="N91" i="15" l="1"/>
  <c r="P91" i="15" s="1"/>
  <c r="H25" i="8" s="1"/>
  <c r="M91" i="15"/>
  <c r="O91" i="15" s="1"/>
  <c r="S88" i="15"/>
  <c r="R91" i="15"/>
  <c r="I25" i="8" s="1"/>
  <c r="R90" i="15"/>
  <c r="I24" i="8" s="1"/>
  <c r="R88" i="15"/>
  <c r="I23" i="8" s="1"/>
  <c r="N90" i="15"/>
  <c r="S91" i="15"/>
  <c r="J81" i="8" l="1"/>
  <c r="J80" i="8"/>
  <c r="I81" i="8"/>
  <c r="I80" i="8"/>
  <c r="H81" i="8"/>
  <c r="H80" i="8"/>
  <c r="E99" i="18"/>
  <c r="E95" i="18"/>
  <c r="E96" i="18"/>
  <c r="E98" i="18"/>
  <c r="E97" i="18"/>
  <c r="A105" i="33"/>
  <c r="Q91" i="15"/>
  <c r="J82" i="8" s="1"/>
  <c r="N88" i="15"/>
  <c r="P88" i="15" s="1"/>
  <c r="M88" i="15"/>
  <c r="O88" i="15" s="1"/>
  <c r="Q88" i="15" l="1"/>
  <c r="H82" i="8" s="1"/>
  <c r="H83" i="8" s="1"/>
  <c r="H98" i="8" s="1"/>
  <c r="H23" i="8"/>
  <c r="J83" i="8"/>
  <c r="J98" i="8" s="1"/>
  <c r="A97" i="33"/>
  <c r="E10" i="30"/>
  <c r="M90" i="15"/>
  <c r="O90" i="15" s="1"/>
  <c r="P90" i="15"/>
  <c r="H24" i="8" s="1"/>
  <c r="B58" i="8" s="1"/>
  <c r="K58" i="8" s="1"/>
  <c r="S90" i="15"/>
  <c r="S33" i="15"/>
  <c r="S34" i="15"/>
  <c r="R34" i="15"/>
  <c r="R33" i="15"/>
  <c r="N33" i="15"/>
  <c r="P33" i="15" s="1"/>
  <c r="M34" i="15"/>
  <c r="O34" i="15" s="1"/>
  <c r="M33" i="15"/>
  <c r="O33" i="15" s="1"/>
  <c r="N34" i="15"/>
  <c r="P34" i="15" s="1"/>
  <c r="I34" i="15"/>
  <c r="H34" i="15"/>
  <c r="I33" i="15"/>
  <c r="H33" i="15"/>
  <c r="L58" i="8" l="1"/>
  <c r="L98" i="8" s="1"/>
  <c r="M98" i="8"/>
  <c r="Q33" i="15"/>
  <c r="Q90" i="15"/>
  <c r="I82" i="8" s="1"/>
  <c r="I83" i="8" s="1"/>
  <c r="I98" i="8" s="1"/>
  <c r="Q34" i="15"/>
  <c r="P28" i="15" l="1"/>
  <c r="C21" i="25" l="1"/>
  <c r="Q97" i="8" l="1"/>
  <c r="Q96" i="8"/>
  <c r="Q95" i="8"/>
  <c r="Q99" i="8"/>
  <c r="Q98" i="8"/>
  <c r="H30" i="15"/>
  <c r="H31" i="15"/>
  <c r="H32" i="15"/>
  <c r="H29" i="15"/>
  <c r="S32" i="15" l="1"/>
  <c r="S31" i="15"/>
  <c r="S30" i="15"/>
  <c r="S29" i="15"/>
  <c r="S28" i="15"/>
  <c r="I30" i="15"/>
  <c r="I31" i="15"/>
  <c r="I32" i="15"/>
  <c r="I29" i="15"/>
  <c r="B21" i="25" l="1"/>
  <c r="Q93" i="8" s="1"/>
  <c r="D21" i="25" l="1"/>
  <c r="D105" i="8"/>
  <c r="C5" i="28" l="1"/>
  <c r="B5" i="28"/>
  <c r="E5" i="28"/>
  <c r="D26" i="8" l="1"/>
  <c r="D14" i="8"/>
  <c r="C37" i="8"/>
  <c r="D59" i="33" s="1"/>
  <c r="D37" i="8"/>
  <c r="D60" i="33" s="1"/>
  <c r="E37" i="8"/>
  <c r="D61" i="33" s="1"/>
  <c r="F37" i="8"/>
  <c r="D62" i="33" s="1"/>
  <c r="D63" i="33"/>
  <c r="B115" i="8"/>
  <c r="D48" i="8"/>
  <c r="E48" i="8" s="1"/>
  <c r="O89" i="15"/>
  <c r="O87" i="15"/>
  <c r="O86" i="15"/>
  <c r="O85" i="15"/>
  <c r="O84" i="15"/>
  <c r="O83" i="15"/>
  <c r="O82" i="15"/>
  <c r="O81" i="15"/>
  <c r="O80" i="15"/>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38" i="15"/>
  <c r="O39" i="15"/>
  <c r="O40" i="15"/>
  <c r="O41" i="15"/>
  <c r="O42" i="15"/>
  <c r="O43" i="15"/>
  <c r="O44" i="15"/>
  <c r="O45" i="15"/>
  <c r="O46" i="15"/>
  <c r="O47" i="15"/>
  <c r="O48" i="15"/>
  <c r="O49" i="15"/>
  <c r="O50" i="15"/>
  <c r="O51" i="15"/>
  <c r="O52" i="15"/>
  <c r="O53" i="15"/>
  <c r="O54" i="15"/>
  <c r="O29" i="15"/>
  <c r="O30" i="15"/>
  <c r="O31" i="15"/>
  <c r="O32" i="15"/>
  <c r="O28" i="15"/>
  <c r="Q28" i="15" s="1"/>
  <c r="K55" i="8"/>
  <c r="D49" i="33"/>
  <c r="S72" i="15"/>
  <c r="F122" i="8"/>
  <c r="M121" i="8" s="1"/>
  <c r="A103" i="33"/>
  <c r="L17" i="15"/>
  <c r="K17" i="15"/>
  <c r="R126" i="15"/>
  <c r="T166" i="15"/>
  <c r="T165" i="15"/>
  <c r="S165" i="15"/>
  <c r="T164" i="15"/>
  <c r="T163" i="15"/>
  <c r="S163" i="15"/>
  <c r="T162" i="15"/>
  <c r="S162" i="15"/>
  <c r="S166" i="15"/>
  <c r="S164" i="15"/>
  <c r="R166" i="15"/>
  <c r="R165" i="15"/>
  <c r="R164" i="15"/>
  <c r="R163" i="15"/>
  <c r="Q163" i="15"/>
  <c r="R162" i="15"/>
  <c r="Q162" i="15"/>
  <c r="Q166" i="15"/>
  <c r="Q165" i="15"/>
  <c r="Q164" i="15"/>
  <c r="P166" i="15"/>
  <c r="P165" i="15"/>
  <c r="P164" i="15"/>
  <c r="P163" i="15"/>
  <c r="O163" i="15"/>
  <c r="P162" i="15"/>
  <c r="O162" i="15"/>
  <c r="O166" i="15"/>
  <c r="O165" i="15"/>
  <c r="O164" i="15"/>
  <c r="N166" i="15"/>
  <c r="K166" i="15"/>
  <c r="K165" i="15"/>
  <c r="K164" i="15"/>
  <c r="K163" i="15"/>
  <c r="K162" i="15"/>
  <c r="J166" i="15"/>
  <c r="J165" i="15"/>
  <c r="J164" i="15"/>
  <c r="J163" i="15"/>
  <c r="J162" i="15"/>
  <c r="I166" i="15"/>
  <c r="I165" i="15"/>
  <c r="I164" i="15"/>
  <c r="I163" i="15"/>
  <c r="I162" i="15"/>
  <c r="H165" i="15"/>
  <c r="H166" i="15"/>
  <c r="H164" i="15"/>
  <c r="H163" i="15"/>
  <c r="H162" i="15"/>
  <c r="G166" i="15"/>
  <c r="G165" i="15"/>
  <c r="G164" i="15"/>
  <c r="G163" i="15"/>
  <c r="G162" i="15"/>
  <c r="K160" i="15"/>
  <c r="J160" i="15"/>
  <c r="H160" i="15"/>
  <c r="I160" i="15"/>
  <c r="R146" i="15"/>
  <c r="N164" i="15" s="1"/>
  <c r="Q146" i="15"/>
  <c r="M164" i="15" s="1"/>
  <c r="P146" i="15"/>
  <c r="L164" i="15" s="1"/>
  <c r="R136" i="15"/>
  <c r="N163" i="15" s="1"/>
  <c r="Q136" i="15"/>
  <c r="M163" i="15" s="1"/>
  <c r="P136" i="15"/>
  <c r="L163" i="15" s="1"/>
  <c r="Q126" i="15"/>
  <c r="M166" i="15" s="1"/>
  <c r="P126" i="15"/>
  <c r="L166" i="15" s="1"/>
  <c r="R115" i="15"/>
  <c r="N165" i="15" s="1"/>
  <c r="Q115" i="15"/>
  <c r="M165" i="15" s="1"/>
  <c r="P115" i="15"/>
  <c r="L165" i="15" s="1"/>
  <c r="R104" i="15"/>
  <c r="N162" i="15" s="1"/>
  <c r="Q104" i="15"/>
  <c r="M162" i="15" s="1"/>
  <c r="P104" i="15"/>
  <c r="L162" i="15" s="1"/>
  <c r="C99" i="18"/>
  <c r="C98" i="18"/>
  <c r="C97" i="18"/>
  <c r="C96" i="18"/>
  <c r="C95" i="18"/>
  <c r="E87" i="18"/>
  <c r="D87" i="18"/>
  <c r="C87" i="18"/>
  <c r="A87" i="18"/>
  <c r="E86" i="18"/>
  <c r="D86" i="18"/>
  <c r="C86" i="18"/>
  <c r="A86" i="18"/>
  <c r="E85" i="18"/>
  <c r="D85" i="18"/>
  <c r="C85" i="18"/>
  <c r="A85" i="18"/>
  <c r="E84" i="18"/>
  <c r="D84" i="18"/>
  <c r="C84" i="18"/>
  <c r="A84" i="18"/>
  <c r="E83" i="18"/>
  <c r="D83" i="18"/>
  <c r="C83" i="18"/>
  <c r="A83" i="18"/>
  <c r="E82" i="18"/>
  <c r="D82" i="18"/>
  <c r="C82" i="18"/>
  <c r="A82" i="18"/>
  <c r="E81" i="18"/>
  <c r="D81" i="18"/>
  <c r="C81" i="18"/>
  <c r="A81" i="18"/>
  <c r="E80" i="18"/>
  <c r="D80" i="18"/>
  <c r="C80" i="18"/>
  <c r="A80" i="18"/>
  <c r="E79" i="18"/>
  <c r="D79" i="18"/>
  <c r="C79" i="18"/>
  <c r="A79" i="18"/>
  <c r="E78" i="18"/>
  <c r="D78" i="18"/>
  <c r="C78" i="18"/>
  <c r="A78" i="18"/>
  <c r="A76" i="18"/>
  <c r="C64" i="18"/>
  <c r="A64" i="18"/>
  <c r="C63" i="18"/>
  <c r="A63" i="18"/>
  <c r="C62" i="18"/>
  <c r="A62" i="18"/>
  <c r="C61" i="18"/>
  <c r="A61" i="18"/>
  <c r="C60" i="18"/>
  <c r="A60" i="18"/>
  <c r="C59" i="18"/>
  <c r="A59" i="18"/>
  <c r="D58" i="18"/>
  <c r="A58" i="18"/>
  <c r="S57" i="15"/>
  <c r="S58" i="15"/>
  <c r="S59" i="15"/>
  <c r="S60" i="15"/>
  <c r="S61" i="15"/>
  <c r="S62" i="15"/>
  <c r="S63" i="15"/>
  <c r="S64" i="15"/>
  <c r="S65" i="15"/>
  <c r="S66" i="15"/>
  <c r="S67" i="15"/>
  <c r="S68" i="15"/>
  <c r="S69" i="15"/>
  <c r="S70" i="15"/>
  <c r="S56" i="15"/>
  <c r="S55" i="15"/>
  <c r="F6" i="8"/>
  <c r="S74" i="15"/>
  <c r="S75" i="15"/>
  <c r="S76" i="15"/>
  <c r="S77" i="15"/>
  <c r="S78" i="15"/>
  <c r="S79" i="15"/>
  <c r="S80" i="15"/>
  <c r="S81" i="15"/>
  <c r="S82" i="15"/>
  <c r="S83" i="15"/>
  <c r="S84" i="15"/>
  <c r="S85" i="15"/>
  <c r="S86" i="15"/>
  <c r="S87" i="15"/>
  <c r="S89" i="15"/>
  <c r="S73" i="15"/>
  <c r="S71" i="15"/>
  <c r="S38" i="15"/>
  <c r="S42" i="15"/>
  <c r="S43" i="15"/>
  <c r="S44" i="15"/>
  <c r="S45" i="15"/>
  <c r="S46" i="15"/>
  <c r="S47" i="15"/>
  <c r="S48" i="15"/>
  <c r="S49" i="15"/>
  <c r="S50" i="15"/>
  <c r="S51" i="15"/>
  <c r="S52" i="15"/>
  <c r="S53" i="15"/>
  <c r="S54" i="15"/>
  <c r="S40" i="15"/>
  <c r="S41" i="15"/>
  <c r="S39" i="15"/>
  <c r="B6" i="8"/>
  <c r="E6" i="8"/>
  <c r="A24" i="33" s="1"/>
  <c r="D6" i="8"/>
  <c r="C6" i="8"/>
  <c r="D48" i="33"/>
  <c r="D47" i="33"/>
  <c r="D45" i="33"/>
  <c r="P39" i="15"/>
  <c r="P40" i="15"/>
  <c r="P41" i="15"/>
  <c r="P42" i="15"/>
  <c r="P43" i="15"/>
  <c r="P44" i="15"/>
  <c r="P45" i="15"/>
  <c r="P46" i="15"/>
  <c r="P47" i="15"/>
  <c r="P48" i="15"/>
  <c r="P49" i="15"/>
  <c r="P50" i="15"/>
  <c r="P51" i="15"/>
  <c r="P52" i="15"/>
  <c r="P53" i="15"/>
  <c r="P54" i="15"/>
  <c r="P55" i="15"/>
  <c r="P56" i="15"/>
  <c r="P57" i="15"/>
  <c r="P58" i="15"/>
  <c r="P59" i="15"/>
  <c r="P60" i="15"/>
  <c r="P61" i="15"/>
  <c r="P62" i="15"/>
  <c r="P63" i="15"/>
  <c r="P64" i="15"/>
  <c r="P65" i="15"/>
  <c r="P66" i="15"/>
  <c r="P67" i="15"/>
  <c r="P68" i="15"/>
  <c r="P69" i="15"/>
  <c r="P70" i="15"/>
  <c r="P71" i="15"/>
  <c r="P72" i="15"/>
  <c r="P73" i="15"/>
  <c r="P74" i="15"/>
  <c r="P75" i="15"/>
  <c r="P76" i="15"/>
  <c r="P77" i="15"/>
  <c r="Q77" i="15" s="1"/>
  <c r="P78" i="15"/>
  <c r="P79" i="15"/>
  <c r="P80" i="15"/>
  <c r="P81" i="15"/>
  <c r="P82" i="15"/>
  <c r="P83" i="15"/>
  <c r="P84" i="15"/>
  <c r="P85" i="15"/>
  <c r="Q85" i="15" s="1"/>
  <c r="P86" i="15"/>
  <c r="H22" i="8" s="1"/>
  <c r="P87" i="15"/>
  <c r="P89" i="15"/>
  <c r="P38" i="15"/>
  <c r="P29" i="15"/>
  <c r="C26" i="8" s="1"/>
  <c r="P30" i="15"/>
  <c r="P31" i="15"/>
  <c r="Q31" i="15" s="1"/>
  <c r="P32" i="15"/>
  <c r="E26" i="8"/>
  <c r="B26" i="8"/>
  <c r="D15" i="8"/>
  <c r="F21" i="35" s="1"/>
  <c r="D13" i="8"/>
  <c r="F19" i="35" s="1"/>
  <c r="D12" i="8"/>
  <c r="D11" i="8"/>
  <c r="F17" i="35" s="1"/>
  <c r="D10" i="8"/>
  <c r="D9" i="8"/>
  <c r="T74" i="15"/>
  <c r="T75" i="15" s="1"/>
  <c r="T76" i="15" s="1"/>
  <c r="T77" i="15" s="1"/>
  <c r="T78" i="15" s="1"/>
  <c r="T79" i="15" s="1"/>
  <c r="T80" i="15" s="1"/>
  <c r="T81" i="15" s="1"/>
  <c r="T82" i="15" s="1"/>
  <c r="T83" i="15" s="1"/>
  <c r="T84" i="15" s="1"/>
  <c r="T85" i="15" s="1"/>
  <c r="T86" i="15" s="1"/>
  <c r="T87" i="15" s="1"/>
  <c r="T88" i="15" s="1"/>
  <c r="T89" i="15" s="1"/>
  <c r="T90" i="15" s="1"/>
  <c r="T91" i="15" s="1"/>
  <c r="T56" i="15"/>
  <c r="T57" i="15" s="1"/>
  <c r="T58" i="15" s="1"/>
  <c r="T59" i="15" s="1"/>
  <c r="T60" i="15" s="1"/>
  <c r="T61" i="15" s="1"/>
  <c r="T62" i="15" s="1"/>
  <c r="T63" i="15" s="1"/>
  <c r="T64" i="15" s="1"/>
  <c r="T65" i="15" s="1"/>
  <c r="T66" i="15" s="1"/>
  <c r="T67" i="15" s="1"/>
  <c r="T68" i="15" s="1"/>
  <c r="T69" i="15" s="1"/>
  <c r="T70" i="15" s="1"/>
  <c r="T39" i="15"/>
  <c r="T40" i="15" s="1"/>
  <c r="T41" i="15" s="1"/>
  <c r="T42" i="15" s="1"/>
  <c r="T43" i="15" s="1"/>
  <c r="T44" i="15" s="1"/>
  <c r="T45" i="15" s="1"/>
  <c r="T46" i="15" s="1"/>
  <c r="T47" i="15" s="1"/>
  <c r="T48" i="15" s="1"/>
  <c r="T49" i="15" s="1"/>
  <c r="T50" i="15" s="1"/>
  <c r="T51" i="15" s="1"/>
  <c r="T52" i="15" s="1"/>
  <c r="T53" i="15" s="1"/>
  <c r="T54" i="15" s="1"/>
  <c r="F90" i="8"/>
  <c r="B114" i="8"/>
  <c r="B113" i="8"/>
  <c r="B112" i="8"/>
  <c r="D50" i="8"/>
  <c r="E50" i="8" s="1"/>
  <c r="C50" i="8"/>
  <c r="D49" i="8"/>
  <c r="E49" i="8" s="1"/>
  <c r="C49" i="8"/>
  <c r="C48" i="8"/>
  <c r="A46" i="8"/>
  <c r="E75" i="33" s="1"/>
  <c r="A45" i="8"/>
  <c r="D75" i="33" s="1"/>
  <c r="A44" i="8"/>
  <c r="C75" i="33" s="1"/>
  <c r="B57" i="8"/>
  <c r="K57" i="8" s="1"/>
  <c r="Q89" i="15" l="1"/>
  <c r="Q80" i="15"/>
  <c r="Q72" i="15"/>
  <c r="Q68" i="15"/>
  <c r="Q56" i="15"/>
  <c r="Q52" i="15"/>
  <c r="Q44" i="15"/>
  <c r="F48" i="8"/>
  <c r="Q67" i="15"/>
  <c r="Q59" i="15"/>
  <c r="G65" i="8"/>
  <c r="I65" i="8"/>
  <c r="G28" i="8"/>
  <c r="J28" i="8"/>
  <c r="H29" i="8"/>
  <c r="I64" i="8"/>
  <c r="G64" i="8"/>
  <c r="J29" i="8"/>
  <c r="M95" i="8"/>
  <c r="L55" i="8"/>
  <c r="L95" i="8" s="1"/>
  <c r="C57" i="33"/>
  <c r="G34" i="8"/>
  <c r="L57" i="8"/>
  <c r="L97" i="8" s="1"/>
  <c r="M97" i="8"/>
  <c r="F20" i="35"/>
  <c r="J76" i="8"/>
  <c r="G77" i="8"/>
  <c r="H77" i="8"/>
  <c r="I77" i="8"/>
  <c r="H76" i="8"/>
  <c r="G76" i="8"/>
  <c r="J77" i="8"/>
  <c r="I76" i="8"/>
  <c r="K3" i="35"/>
  <c r="F10" i="35"/>
  <c r="F15" i="35"/>
  <c r="F6" i="35"/>
  <c r="F7" i="35"/>
  <c r="K10" i="35"/>
  <c r="F16" i="35"/>
  <c r="F8" i="35"/>
  <c r="F18" i="35"/>
  <c r="D21" i="33"/>
  <c r="D21" i="18"/>
  <c r="D20" i="18"/>
  <c r="D16" i="33"/>
  <c r="D18" i="33"/>
  <c r="D18" i="18"/>
  <c r="D15" i="33"/>
  <c r="D15" i="18"/>
  <c r="D17" i="33"/>
  <c r="D17" i="18"/>
  <c r="D19" i="33"/>
  <c r="D19" i="18"/>
  <c r="D10" i="33"/>
  <c r="D10" i="18"/>
  <c r="G10" i="18"/>
  <c r="G3" i="33"/>
  <c r="G71" i="33" s="1"/>
  <c r="G3" i="18"/>
  <c r="D26" i="33"/>
  <c r="D26" i="18"/>
  <c r="D7" i="33"/>
  <c r="D7" i="18"/>
  <c r="D8" i="33"/>
  <c r="D8" i="18"/>
  <c r="D6" i="18"/>
  <c r="D20" i="33"/>
  <c r="F76" i="8"/>
  <c r="Q38" i="15"/>
  <c r="A95" i="33"/>
  <c r="E8" i="30"/>
  <c r="D6" i="33"/>
  <c r="G10" i="33"/>
  <c r="A7" i="28"/>
  <c r="Q87" i="15"/>
  <c r="Q79" i="15"/>
  <c r="Q64" i="15"/>
  <c r="Q71" i="15"/>
  <c r="Q63" i="15"/>
  <c r="Q55" i="15"/>
  <c r="Q40" i="15"/>
  <c r="Q53" i="15"/>
  <c r="Q45" i="15"/>
  <c r="Q81" i="15"/>
  <c r="Q73" i="15"/>
  <c r="Q51" i="15"/>
  <c r="Q43" i="15"/>
  <c r="Q65" i="15"/>
  <c r="Q57" i="15"/>
  <c r="B56" i="8"/>
  <c r="B59" i="8"/>
  <c r="D55" i="8"/>
  <c r="D94" i="33" s="1"/>
  <c r="B111" i="8"/>
  <c r="Q32" i="15"/>
  <c r="E28" i="8"/>
  <c r="Q48" i="15"/>
  <c r="Q30" i="15"/>
  <c r="Q84" i="15"/>
  <c r="Q76" i="15"/>
  <c r="F82" i="8" s="1"/>
  <c r="Q69" i="15"/>
  <c r="Q47" i="15"/>
  <c r="Q41" i="15"/>
  <c r="Q29" i="15"/>
  <c r="Q83" i="15"/>
  <c r="Q75" i="15"/>
  <c r="Q61" i="15"/>
  <c r="Q39" i="15"/>
  <c r="Q49" i="15"/>
  <c r="Q60" i="15"/>
  <c r="Q50" i="15"/>
  <c r="Q42" i="15"/>
  <c r="Q58" i="15"/>
  <c r="Q66" i="15"/>
  <c r="Q74" i="15"/>
  <c r="Q82" i="15"/>
  <c r="Q54" i="15"/>
  <c r="Q46" i="15"/>
  <c r="Q62" i="15"/>
  <c r="Q70" i="15"/>
  <c r="Q78" i="15"/>
  <c r="Q86" i="15"/>
  <c r="G82" i="8" s="1"/>
  <c r="G83" i="8" s="1"/>
  <c r="G98" i="8" s="1"/>
  <c r="D60" i="18"/>
  <c r="D64" i="18"/>
  <c r="C28" i="8"/>
  <c r="D10" i="28"/>
  <c r="D36" i="33" s="1"/>
  <c r="E10" i="28"/>
  <c r="F36" i="33" s="1"/>
  <c r="D9" i="28"/>
  <c r="E36" i="33" s="1"/>
  <c r="C10" i="28"/>
  <c r="B36" i="33" s="1"/>
  <c r="E9" i="28"/>
  <c r="G36" i="33" s="1"/>
  <c r="C9" i="28"/>
  <c r="C36" i="33" s="1"/>
  <c r="E65" i="8"/>
  <c r="D62" i="18"/>
  <c r="E64" i="8"/>
  <c r="A102" i="33"/>
  <c r="E29" i="8"/>
  <c r="D76" i="18"/>
  <c r="C58" i="18"/>
  <c r="A106" i="33"/>
  <c r="D48" i="18"/>
  <c r="D46" i="18"/>
  <c r="D50" i="18"/>
  <c r="C105" i="33"/>
  <c r="D63" i="18"/>
  <c r="E38" i="8"/>
  <c r="C38" i="8"/>
  <c r="D61" i="18"/>
  <c r="F38" i="8"/>
  <c r="D38" i="8"/>
  <c r="A98" i="18"/>
  <c r="A106" i="18"/>
  <c r="D58" i="8"/>
  <c r="D97" i="33" s="1"/>
  <c r="D57" i="8"/>
  <c r="D96" i="33" s="1"/>
  <c r="A104" i="33"/>
  <c r="A104" i="18"/>
  <c r="A96" i="18"/>
  <c r="B50" i="8"/>
  <c r="E76" i="18"/>
  <c r="B49" i="8"/>
  <c r="C76" i="18"/>
  <c r="B48" i="8"/>
  <c r="D49" i="18"/>
  <c r="F77" i="8"/>
  <c r="D16" i="18"/>
  <c r="A24" i="18"/>
  <c r="D56" i="8" l="1"/>
  <c r="D96" i="18" s="1"/>
  <c r="K56" i="8"/>
  <c r="G74" i="8"/>
  <c r="H74" i="8"/>
  <c r="I74" i="8"/>
  <c r="J74" i="8"/>
  <c r="D59" i="8"/>
  <c r="D98" i="33" s="1"/>
  <c r="K59" i="8"/>
  <c r="K45" i="35"/>
  <c r="K75" i="35"/>
  <c r="D36" i="18"/>
  <c r="C36" i="18"/>
  <c r="G36" i="18"/>
  <c r="B36" i="18"/>
  <c r="E36" i="18"/>
  <c r="F36" i="18"/>
  <c r="G110" i="33"/>
  <c r="G40" i="33"/>
  <c r="G145" i="33"/>
  <c r="F74" i="8"/>
  <c r="C121" i="8" s="1"/>
  <c r="A103" i="18"/>
  <c r="A94" i="33"/>
  <c r="E7" i="30"/>
  <c r="A96" i="33"/>
  <c r="E9" i="30"/>
  <c r="A98" i="33"/>
  <c r="E11" i="30"/>
  <c r="D95" i="18"/>
  <c r="E55" i="8"/>
  <c r="F83" i="8"/>
  <c r="F98" i="8" s="1"/>
  <c r="A95" i="18"/>
  <c r="D97" i="18"/>
  <c r="A107" i="18"/>
  <c r="C114" i="8"/>
  <c r="C123" i="8"/>
  <c r="C39" i="8"/>
  <c r="C106" i="18"/>
  <c r="D98" i="18"/>
  <c r="E58" i="8"/>
  <c r="A105" i="18"/>
  <c r="A97" i="18"/>
  <c r="C113" i="8"/>
  <c r="C104" i="33"/>
  <c r="E57" i="8"/>
  <c r="A99" i="18"/>
  <c r="C111" i="8"/>
  <c r="C102" i="33"/>
  <c r="G41" i="18"/>
  <c r="G72" i="18"/>
  <c r="G146" i="18"/>
  <c r="G111" i="18"/>
  <c r="E56" i="8" l="1"/>
  <c r="D95" i="33"/>
  <c r="E59" i="8"/>
  <c r="D99" i="18"/>
  <c r="M99" i="8"/>
  <c r="C106" i="33" s="1"/>
  <c r="L59" i="8"/>
  <c r="L99" i="8" s="1"/>
  <c r="C115" i="8" s="1"/>
  <c r="L56" i="8"/>
  <c r="L96" i="8" s="1"/>
  <c r="C112" i="8" s="1"/>
  <c r="M96" i="8"/>
  <c r="C103" i="33" s="1"/>
  <c r="D64" i="33"/>
  <c r="J73" i="8"/>
  <c r="J78" i="8" s="1"/>
  <c r="J85" i="8" s="1"/>
  <c r="H73" i="8"/>
  <c r="H78" i="8" s="1"/>
  <c r="H85" i="8" s="1"/>
  <c r="G73" i="8"/>
  <c r="G78" i="8" s="1"/>
  <c r="G85" i="8" s="1"/>
  <c r="I73" i="8"/>
  <c r="I78" i="8" s="1"/>
  <c r="I85" i="8" s="1"/>
  <c r="C9" i="25"/>
  <c r="F10" i="30"/>
  <c r="L10" i="30" s="1"/>
  <c r="C122" i="8"/>
  <c r="F73" i="8"/>
  <c r="F78" i="8" s="1"/>
  <c r="F85" i="8" s="1"/>
  <c r="D65" i="18"/>
  <c r="C105" i="18"/>
  <c r="C103" i="18"/>
  <c r="C107" i="18" l="1"/>
  <c r="C10" i="25" s="1"/>
  <c r="C104" i="18"/>
  <c r="F8" i="30" s="1"/>
  <c r="L8" i="30" s="1"/>
  <c r="I93" i="8"/>
  <c r="G93" i="8"/>
  <c r="M86" i="8"/>
  <c r="M87" i="8"/>
  <c r="N86" i="8" s="1"/>
  <c r="H93" i="8"/>
  <c r="C8" i="25"/>
  <c r="F9" i="30"/>
  <c r="L9" i="30" s="1"/>
  <c r="C6" i="25"/>
  <c r="F7" i="30"/>
  <c r="L7" i="30" s="1"/>
  <c r="F11" i="30" l="1"/>
  <c r="L11" i="30" s="1"/>
  <c r="C7" i="25"/>
  <c r="J93" i="8"/>
  <c r="N96" i="8"/>
  <c r="G100" i="8"/>
  <c r="N97" i="8"/>
  <c r="H100" i="8"/>
  <c r="I100" i="8"/>
  <c r="N98" i="8"/>
  <c r="F93" i="8"/>
  <c r="D114" i="8"/>
  <c r="E114" i="8" s="1"/>
  <c r="D113" i="8"/>
  <c r="E113" i="8" s="1"/>
  <c r="D112" i="8"/>
  <c r="E112" i="8" s="1"/>
  <c r="O97" i="8" l="1"/>
  <c r="D104" i="33" s="1"/>
  <c r="P97" i="8"/>
  <c r="F113" i="8"/>
  <c r="G113" i="8"/>
  <c r="F112" i="8"/>
  <c r="G112" i="8"/>
  <c r="N95" i="8"/>
  <c r="F114" i="8"/>
  <c r="G114" i="8"/>
  <c r="F100" i="8"/>
  <c r="O96" i="8"/>
  <c r="D103" i="33" s="1"/>
  <c r="P96" i="8"/>
  <c r="O98" i="8"/>
  <c r="D105" i="33" s="1"/>
  <c r="P98" i="8"/>
  <c r="D111" i="8"/>
  <c r="E111" i="8" s="1"/>
  <c r="J100" i="8"/>
  <c r="N99" i="8"/>
  <c r="M75" i="8"/>
  <c r="M82" i="8"/>
  <c r="M81" i="8"/>
  <c r="M80" i="8"/>
  <c r="M76" i="8"/>
  <c r="M77" i="8"/>
  <c r="M74" i="8"/>
  <c r="M73" i="8"/>
  <c r="D115" i="8"/>
  <c r="E115" i="8" s="1"/>
  <c r="D104" i="18" l="1"/>
  <c r="G8" i="30" s="1"/>
  <c r="M8" i="30" s="1"/>
  <c r="J8" i="30" s="1"/>
  <c r="K8" i="30" s="1"/>
  <c r="N8" i="30" s="1"/>
  <c r="F101" i="8"/>
  <c r="I103" i="8" s="1"/>
  <c r="M83" i="8"/>
  <c r="F115" i="8"/>
  <c r="G115" i="8"/>
  <c r="F111" i="8"/>
  <c r="G111" i="8"/>
  <c r="G116" i="8" s="1"/>
  <c r="C120" i="8" s="1"/>
  <c r="O95" i="8"/>
  <c r="P95" i="8"/>
  <c r="O99" i="8"/>
  <c r="D106" i="33" s="1"/>
  <c r="P99" i="8"/>
  <c r="D105" i="18"/>
  <c r="G9" i="30" s="1"/>
  <c r="M9" i="30" s="1"/>
  <c r="J9" i="30" s="1"/>
  <c r="D106" i="18"/>
  <c r="G10" i="30" s="1"/>
  <c r="M10" i="30" s="1"/>
  <c r="J10" i="30" s="1"/>
  <c r="F103" i="8" l="1"/>
  <c r="G103" i="8"/>
  <c r="J103" i="8"/>
  <c r="I105" i="8" s="1"/>
  <c r="H103" i="8"/>
  <c r="F116" i="8"/>
  <c r="C118" i="8" s="1"/>
  <c r="D102" i="33"/>
  <c r="D103" i="18"/>
  <c r="G7" i="30" s="1"/>
  <c r="M7" i="30" s="1"/>
  <c r="J7" i="30" s="1"/>
  <c r="D107" i="18"/>
  <c r="G11" i="30" s="1"/>
  <c r="M11" i="30" s="1"/>
  <c r="J11" i="30" s="1"/>
  <c r="K10" i="30"/>
  <c r="N10" i="30" s="1"/>
  <c r="K9" i="30"/>
  <c r="N9" i="30" s="1"/>
  <c r="D9" i="25"/>
  <c r="E9" i="25" s="1"/>
  <c r="D8" i="25"/>
  <c r="E8" i="25" s="1"/>
  <c r="D10" i="25" l="1"/>
  <c r="E10" i="25" s="1"/>
  <c r="K11" i="30"/>
  <c r="N11" i="30" s="1"/>
  <c r="K7" i="30"/>
  <c r="N7" i="30" s="1"/>
  <c r="H113" i="8"/>
  <c r="H114" i="8"/>
  <c r="H112" i="8"/>
  <c r="H115" i="8"/>
  <c r="H111" i="8"/>
  <c r="H116" i="8" s="1"/>
  <c r="F142" i="8"/>
  <c r="F143" i="8" s="1"/>
  <c r="C119" i="8"/>
  <c r="I111" i="8" l="1"/>
  <c r="I115" i="8"/>
  <c r="I114" i="8"/>
  <c r="I113" i="8"/>
  <c r="I112" i="8"/>
  <c r="G137" i="8"/>
  <c r="F120" i="8"/>
  <c r="K121" i="8" s="1"/>
  <c r="K122" i="8" s="1"/>
  <c r="E137" i="8"/>
  <c r="J113" i="8" l="1"/>
  <c r="K113" i="8"/>
  <c r="O132" i="8" s="1"/>
  <c r="S133" i="8" s="1"/>
  <c r="T133" i="8" s="1"/>
  <c r="J114" i="8"/>
  <c r="K114" i="8"/>
  <c r="O133" i="8" s="1"/>
  <c r="S134" i="8" s="1"/>
  <c r="T134" i="8" s="1"/>
  <c r="J115" i="8"/>
  <c r="K115" i="8"/>
  <c r="O134" i="8" s="1"/>
  <c r="S135" i="8" s="1"/>
  <c r="T135" i="8" s="1"/>
  <c r="J112" i="8"/>
  <c r="K112" i="8"/>
  <c r="O131" i="8" s="1"/>
  <c r="S132" i="8" s="1"/>
  <c r="T132" i="8" s="1"/>
  <c r="I116" i="8"/>
  <c r="J111" i="8"/>
  <c r="K111" i="8"/>
  <c r="Y131" i="8"/>
  <c r="O130" i="8" l="1"/>
  <c r="S131" i="8" s="1"/>
  <c r="T131" i="8" s="1"/>
  <c r="T136" i="8" s="1"/>
  <c r="D127" i="8"/>
  <c r="M142" i="8" s="1"/>
  <c r="M143" i="8" s="1"/>
  <c r="J10" i="25" s="1"/>
  <c r="S136" i="8" l="1"/>
  <c r="W131" i="8" s="1"/>
  <c r="X131" i="8"/>
  <c r="D126" i="8"/>
  <c r="O142" i="8" s="1"/>
  <c r="O143" i="8" s="1"/>
  <c r="H10" i="25" s="1"/>
  <c r="I10" i="25" s="1"/>
  <c r="D23" i="25" s="1"/>
  <c r="J9" i="25"/>
  <c r="J7" i="25"/>
  <c r="J6" i="25"/>
  <c r="E138" i="8"/>
  <c r="J8" i="25"/>
  <c r="D6" i="25"/>
  <c r="E6" i="25" s="1"/>
  <c r="G138" i="8" l="1"/>
  <c r="L112" i="8" s="1"/>
  <c r="M112" i="8" s="1"/>
  <c r="H127" i="8"/>
  <c r="H6" i="25"/>
  <c r="I6" i="25" s="1"/>
  <c r="H8" i="25"/>
  <c r="I8" i="25" s="1"/>
  <c r="H9" i="25"/>
  <c r="I9" i="25" s="1"/>
  <c r="H7" i="25"/>
  <c r="I7" i="25" s="1"/>
  <c r="D7" i="25"/>
  <c r="E7" i="25" s="1"/>
  <c r="G6" i="25" s="1"/>
  <c r="L115" i="8" l="1"/>
  <c r="M115" i="8" s="1"/>
  <c r="L113" i="8"/>
  <c r="M113" i="8" s="1"/>
  <c r="L114" i="8"/>
  <c r="M114" i="8" s="1"/>
  <c r="L111" i="8"/>
  <c r="M111" i="8" s="1"/>
  <c r="F6" i="25"/>
  <c r="E102" i="33" l="1"/>
  <c r="E104" i="33"/>
  <c r="E105" i="33"/>
  <c r="E106" i="33"/>
  <c r="E103" i="33"/>
  <c r="E104" i="18" l="1"/>
  <c r="E107" i="18"/>
  <c r="E106" i="18"/>
  <c r="E105" i="18"/>
  <c r="E103" i="18"/>
  <c r="F12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Elvis Aguirre Romero</author>
  </authors>
  <commentList>
    <comment ref="C34" authorId="0" shapeId="0" xr:uid="{00000000-0006-0000-0000-000001000000}">
      <text>
        <r>
          <rPr>
            <sz val="9"/>
            <color indexed="81"/>
            <rFont val="Tahoma"/>
            <family val="2"/>
          </rPr>
          <t xml:space="preserve">TENER ENCUENTA LA CARGA MAXIMA SEGÚN LA BALANZA A CALIBRAR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Elvis Aguirre Romero</author>
    <author>EQUIPO01</author>
    <author>STIVINSON</author>
    <author>yenni hernandez gomez</author>
  </authors>
  <commentList>
    <comment ref="K25" authorId="0" shapeId="0" xr:uid="{00000000-0006-0000-0100-000001000000}">
      <text>
        <r>
          <rPr>
            <sz val="9"/>
            <color indexed="81"/>
            <rFont val="Tahoma"/>
            <family val="2"/>
          </rPr>
          <t xml:space="preserve">Para realizar esta carga con pesas (M-016) se usan 200 g sin punto, 2 kg sin punto, 1 kg y 5 kg
</t>
        </r>
      </text>
    </comment>
    <comment ref="B37" authorId="1" shapeId="0" xr:uid="{00000000-0006-0000-0100-000002000000}">
      <text>
        <r>
          <rPr>
            <b/>
            <sz val="9"/>
            <color indexed="81"/>
            <rFont val="Tahoma"/>
            <family val="2"/>
          </rPr>
          <t>SIM MWG7/cg-01v.00, 
Ecuación 6.3.1</t>
        </r>
        <r>
          <rPr>
            <sz val="9"/>
            <color indexed="81"/>
            <rFont val="Tahoma"/>
            <family val="2"/>
          </rPr>
          <t xml:space="preserve">
</t>
        </r>
      </text>
    </comment>
    <comment ref="D47" authorId="1" shapeId="0" xr:uid="{00000000-0006-0000-0100-000003000000}">
      <text>
        <r>
          <rPr>
            <b/>
            <sz val="9"/>
            <color indexed="81"/>
            <rFont val="Tahoma"/>
            <family val="2"/>
          </rPr>
          <t xml:space="preserve">Ecuación </t>
        </r>
        <r>
          <rPr>
            <sz val="9"/>
            <color indexed="81"/>
            <rFont val="Tahoma"/>
            <family val="2"/>
          </rPr>
          <t>6.1-1
SIM MWG7/cg-01v.00</t>
        </r>
      </text>
    </comment>
    <comment ref="A73" authorId="0" shapeId="0" xr:uid="{00000000-0006-0000-0100-000004000000}">
      <text>
        <r>
          <rPr>
            <sz val="9"/>
            <color indexed="81"/>
            <rFont val="Tahoma"/>
            <family val="2"/>
          </rPr>
          <t>Ecuación 7.1.1-10
SIM MWG7/cg-01v.00.</t>
        </r>
      </text>
    </comment>
    <comment ref="A74" authorId="0" shapeId="0" xr:uid="{00000000-0006-0000-0100-000005000000}">
      <text>
        <r>
          <rPr>
            <sz val="9"/>
            <color indexed="81"/>
            <rFont val="Tahoma"/>
            <family val="2"/>
          </rPr>
          <t>Ecuación 7.1.1-5
SIM MWG7/cg-01v.00</t>
        </r>
      </text>
    </comment>
    <comment ref="A76" authorId="0" shapeId="0" xr:uid="{00000000-0006-0000-0100-000006000000}">
      <text>
        <r>
          <rPr>
            <sz val="9"/>
            <color indexed="81"/>
            <rFont val="Tahoma"/>
            <family val="2"/>
          </rPr>
          <t xml:space="preserve">Ecuación 7.1.1-3 a
SIM MWG7/cg-01v.00, </t>
        </r>
      </text>
    </comment>
    <comment ref="A77" authorId="0" shapeId="0" xr:uid="{00000000-0006-0000-0100-000007000000}">
      <text>
        <r>
          <rPr>
            <sz val="9"/>
            <color indexed="81"/>
            <rFont val="Tahoma"/>
            <family val="2"/>
          </rPr>
          <t xml:space="preserve">Ecuación 7.1.1-3 b
SIM MWG7/cg-01v.00
</t>
        </r>
      </text>
    </comment>
    <comment ref="A80" authorId="0" shapeId="0" xr:uid="{00000000-0006-0000-0100-000008000000}">
      <text>
        <r>
          <rPr>
            <sz val="9"/>
            <color indexed="81"/>
            <rFont val="Tahoma"/>
            <family val="2"/>
          </rPr>
          <t>Ecuación 7.1.2-2
SIM MWG7/cg-01v.00</t>
        </r>
      </text>
    </comment>
    <comment ref="A82" authorId="2" shapeId="0" xr:uid="{00000000-0006-0000-0100-000009000000}">
      <text>
        <r>
          <rPr>
            <sz val="9"/>
            <color indexed="81"/>
            <rFont val="Tahoma"/>
            <family val="2"/>
          </rPr>
          <t>Ecuación 7.1.2-11
SIM MWG7/cg-01v.00</t>
        </r>
      </text>
    </comment>
    <comment ref="C83" authorId="0" shapeId="0" xr:uid="{00000000-0006-0000-0100-00000A000000}">
      <text>
        <r>
          <rPr>
            <sz val="9"/>
            <color indexed="81"/>
            <rFont val="Tahoma"/>
            <family val="2"/>
          </rPr>
          <t xml:space="preserve">Ecuación 7.1.2-14
SIM MWG7/cg-01v.00
</t>
        </r>
      </text>
    </comment>
    <comment ref="C85" authorId="3" shapeId="0" xr:uid="{00000000-0006-0000-0100-00000B000000}">
      <text>
        <r>
          <rPr>
            <sz val="9"/>
            <color indexed="81"/>
            <rFont val="Tahoma"/>
            <family val="2"/>
          </rPr>
          <t xml:space="preserve">Para calcular la incertidumbre estándar del error u^2 (E)  para el  IPFNA, se le adiciona la componente de incertidumbre por repetibilidad del método u(δ_mr ) 
</t>
        </r>
      </text>
    </comment>
    <comment ref="N93" authorId="0" shapeId="0" xr:uid="{00000000-0006-0000-0100-00000C000000}">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<sst xmlns="http://schemas.openxmlformats.org/spreadsheetml/2006/main" count="1107" uniqueCount="549">
  <si>
    <t>Clase</t>
  </si>
  <si>
    <t>Serial</t>
  </si>
  <si>
    <t>Certificado N°</t>
  </si>
  <si>
    <t>Fabricante</t>
  </si>
  <si>
    <t>Presión (hPa)</t>
  </si>
  <si>
    <t>Temperatura (°C)</t>
  </si>
  <si>
    <t>Ciudad</t>
  </si>
  <si>
    <t>Solicitante</t>
  </si>
  <si>
    <t>Modelo</t>
  </si>
  <si>
    <t xml:space="preserve"> DATOS DE LOS PATRONES PARA LAS PRUEBAS</t>
  </si>
  <si>
    <t>Cargas para Repetibilidad (g)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</si>
  <si>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</si>
  <si>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</si>
  <si>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</si>
  <si>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</si>
  <si>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</si>
  <si>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</si>
  <si>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</si>
  <si>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</si>
  <si>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</si>
  <si>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</si>
  <si>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</si>
  <si>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Distribución</t>
  </si>
  <si>
    <t>Cargas de prueba (g)</t>
  </si>
  <si>
    <t>GRADOS EFECTIVOS DE LIBERTAD</t>
  </si>
  <si>
    <t>GRADOS EFECTIVOS DE LIBERTAD DEL ERROR</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</si>
  <si>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</si>
  <si>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</si>
  <si>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</si>
  <si>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</si>
  <si>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</si>
  <si>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</si>
  <si>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</si>
  <si>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</si>
  <si>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</si>
  <si>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</si>
  <si>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</si>
  <si>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</si>
  <si>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</si>
  <si>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</si>
  <si>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INCERTIDUMBRE POR INDICACION (mg)</t>
  </si>
  <si>
    <t>n</t>
  </si>
  <si>
    <t>Rectangular</t>
  </si>
  <si>
    <t>Normal</t>
  </si>
  <si>
    <t>k =</t>
  </si>
  <si>
    <t>(g)</t>
  </si>
  <si>
    <t>Carga</t>
  </si>
  <si>
    <t>GRADOS EFECTIVOS DE LIBERTAD POR INDICACION</t>
  </si>
  <si>
    <t xml:space="preserve">Nivel de Confianza                                                                </t>
  </si>
  <si>
    <t>CONDICIONES AMBIENTALES INICIALES</t>
  </si>
  <si>
    <t>CONDICIONES AMBIENTALES FINALES</t>
  </si>
  <si>
    <t>s (mg)</t>
  </si>
  <si>
    <t>s (g)</t>
  </si>
  <si>
    <t xml:space="preserve">K mayor </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</si>
  <si>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</si>
  <si>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</si>
  <si>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</si>
  <si>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</si>
  <si>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</si>
  <si>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</si>
  <si>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</si>
  <si>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</si>
  <si>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</si>
  <si>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</si>
  <si>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</si>
  <si>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</si>
  <si>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</si>
  <si>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</si>
  <si>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Figura 1</t>
  </si>
  <si>
    <t>Prueba de excentricidad.</t>
  </si>
  <si>
    <t>INDICACIÓN g</t>
  </si>
  <si>
    <t>Prueba de repetibilidad.</t>
  </si>
  <si>
    <t>__________________________________</t>
  </si>
  <si>
    <t>Carga para excentricidad    (g)</t>
  </si>
  <si>
    <t>Valor nominal Cargas de    prueba (g) mN</t>
  </si>
  <si>
    <t>Grados efectivos de libertad de Resolución</t>
  </si>
  <si>
    <t>Grados efectivos de libertad de Pesas</t>
  </si>
  <si>
    <t>Grados efectivos de libertad de Empuje</t>
  </si>
  <si>
    <t>Grados efectivos de libertad de Deriva</t>
  </si>
  <si>
    <t>ANTES DE AJUSTE</t>
  </si>
  <si>
    <t xml:space="preserve">  la  pendiente</t>
  </si>
  <si>
    <t>punto  de  corte</t>
  </si>
  <si>
    <t>N=</t>
  </si>
  <si>
    <t xml:space="preserve">Observaciones </t>
  </si>
  <si>
    <t>Calibrado por</t>
  </si>
  <si>
    <t xml:space="preserve">    ______________________________</t>
  </si>
  <si>
    <t>E (R)  (mg) =</t>
  </si>
  <si>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</si>
  <si>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</si>
  <si>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</si>
  <si>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</si>
  <si>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</si>
  <si>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</si>
  <si>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</si>
  <si>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</si>
  <si>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</si>
  <si>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</si>
  <si>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</si>
  <si>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</si>
  <si>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</si>
  <si>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</si>
  <si>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</si>
  <si>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Pesas</t>
  </si>
  <si>
    <t>Marcación</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</si>
  <si>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</si>
  <si>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</si>
  <si>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</si>
  <si>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</si>
  <si>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</si>
  <si>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</si>
  <si>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</si>
  <si>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</si>
  <si>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</si>
  <si>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</si>
  <si>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</si>
  <si>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</si>
  <si>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</si>
  <si>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</si>
  <si>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</si>
  <si>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</si>
  <si>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</si>
  <si>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</si>
  <si>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</si>
  <si>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</si>
  <si>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</si>
  <si>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</si>
  <si>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</si>
  <si>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</si>
  <si>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</si>
  <si>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</si>
  <si>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</si>
  <si>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</si>
  <si>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</si>
  <si>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</si>
  <si>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</si>
  <si>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</si>
  <si>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</si>
  <si>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</si>
  <si>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</si>
  <si>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</si>
  <si>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</si>
  <si>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</si>
  <si>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</si>
  <si>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</si>
  <si>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</si>
  <si>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</si>
  <si>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</si>
  <si>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</si>
  <si>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</si>
  <si>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</si>
  <si>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</si>
  <si>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</si>
  <si>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</si>
  <si>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</si>
  <si>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</si>
  <si>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</si>
  <si>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</si>
  <si>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</si>
  <si>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</si>
  <si>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</si>
  <si>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</si>
  <si>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</si>
  <si>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</si>
  <si>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</si>
  <si>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</si>
  <si>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</si>
  <si>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</si>
  <si>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</si>
  <si>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</si>
  <si>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</si>
  <si>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</si>
  <si>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</si>
  <si>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</si>
  <si>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</si>
  <si>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</si>
  <si>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</si>
  <si>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</si>
  <si>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</si>
  <si>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</si>
  <si>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</si>
  <si>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F1</t>
  </si>
  <si>
    <t>Datos de las Pesas Patrón</t>
  </si>
  <si>
    <t>Carga para Excentricidad g</t>
  </si>
  <si>
    <t>Carga para Repetibilidad g</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</si>
  <si>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</si>
  <si>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</si>
  <si>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</si>
  <si>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</si>
  <si>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</si>
  <si>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</si>
  <si>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</si>
  <si>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</si>
  <si>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</si>
  <si>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</si>
  <si>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</si>
  <si>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</si>
  <si>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</si>
  <si>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</si>
  <si>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 xml:space="preserve">División de Escala (d)                  en (g)  </t>
  </si>
  <si>
    <t xml:space="preserve">Escalón de Verificación     en  (g)  </t>
  </si>
  <si>
    <t>Indicación (g)</t>
  </si>
  <si>
    <t>s máxima (mg)</t>
  </si>
  <si>
    <t>Indicación 2(g)</t>
  </si>
  <si>
    <t>ERROR (g)</t>
  </si>
  <si>
    <t>Carga máx. (g)</t>
  </si>
  <si>
    <t>DATOS TERMOHIGRÓMETRO - BARÓMETRO</t>
  </si>
  <si>
    <t>Fecha Certificado</t>
  </si>
  <si>
    <t>M-010</t>
  </si>
  <si>
    <t>Incertidumbre   U=(k=2)</t>
  </si>
  <si>
    <t xml:space="preserve">M-012  </t>
  </si>
  <si>
    <t>°C</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</si>
  <si>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</si>
  <si>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</si>
  <si>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</si>
  <si>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</si>
  <si>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</si>
  <si>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</si>
  <si>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</si>
  <si>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</si>
  <si>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</si>
  <si>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</si>
  <si>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</si>
  <si>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(g)</t>
  </si>
  <si>
    <t>K</t>
  </si>
  <si>
    <t>Nivel de Confianza</t>
  </si>
  <si>
    <t>Hora inicial</t>
  </si>
  <si>
    <t>U (E)  (g) =</t>
  </si>
  <si>
    <t>Metrólogo</t>
  </si>
  <si>
    <t>INM</t>
  </si>
  <si>
    <t>R (mg)</t>
  </si>
  <si>
    <t>E (R)  (g) =</t>
  </si>
  <si>
    <t>Patrón Utilizado en la Calibración - Termo higrómetros</t>
  </si>
  <si>
    <t>Código Interno</t>
  </si>
  <si>
    <t>Presión Atmosférica</t>
  </si>
  <si>
    <t>Metrólogos</t>
  </si>
  <si>
    <t xml:space="preserve">División de Escala (d)  (g)  </t>
  </si>
  <si>
    <t>N °  Certificado Adherido</t>
  </si>
  <si>
    <t xml:space="preserve">Solicitante                    </t>
  </si>
  <si>
    <t>INCERTIDUMBRE ESTÁNDAR MASA DE REFERENCIA   (mg)</t>
  </si>
  <si>
    <t>INCERTIDUMBRE ESTÁNDAR DEL ERROR   (mg)</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</si>
  <si>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</si>
  <si>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</si>
  <si>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</si>
  <si>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</si>
  <si>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</si>
  <si>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</si>
  <si>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REPETICIÓN. N°</t>
  </si>
  <si>
    <t xml:space="preserve"> Certificado N°</t>
  </si>
  <si>
    <t xml:space="preserve"> Fecha de elaboración: </t>
  </si>
  <si>
    <t>DESPUÉS DE AJUSTE</t>
  </si>
  <si>
    <t>°C m</t>
  </si>
  <si>
    <t>°C b</t>
  </si>
  <si>
    <t>hPa m</t>
  </si>
  <si>
    <t>hPa b</t>
  </si>
  <si>
    <t>E2   2 g AKJ</t>
  </si>
  <si>
    <t>E2   20 g AKA</t>
  </si>
  <si>
    <t>E2   200 g ALW</t>
  </si>
  <si>
    <t>E2   2000 g ABY</t>
  </si>
  <si>
    <t>u (mg)</t>
  </si>
  <si>
    <t>Intervalo de Medición (g) e incertidumbre expandida U</t>
  </si>
  <si>
    <t>Masa  Convencional (g)</t>
  </si>
  <si>
    <t>Indicación 1 (g)</t>
  </si>
  <si>
    <t>Incertidumbre dominante</t>
  </si>
  <si>
    <t>SI</t>
  </si>
  <si>
    <t>≤ 0,3</t>
  </si>
  <si>
    <t>Resultado</t>
  </si>
  <si>
    <r>
      <rPr>
        <b/>
        <i/>
        <sz val="12"/>
        <rFont val="Tahoma"/>
        <family val="2"/>
      </rPr>
      <t>≥</t>
    </r>
    <r>
      <rPr>
        <b/>
        <i/>
        <sz val="12"/>
        <rFont val="Arial"/>
        <family val="2"/>
      </rPr>
      <t xml:space="preserve"> 0,3</t>
    </r>
  </si>
  <si>
    <t>Condicional incertidumbre dominante</t>
  </si>
  <si>
    <t>1.   INFORMACIÓN DEL EQUIPO SOMETIDO A CALIBRACIÓN</t>
  </si>
  <si>
    <t>2.   LUGAR Y DIRECCIÓN DE CALIBRACIÓN</t>
  </si>
  <si>
    <t>3.   CÓDIGO INTERNO</t>
  </si>
  <si>
    <t>4. MÉTODO DE CALIBRACIÓN UTILIZADO</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</si>
  <si>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</si>
  <si>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</si>
  <si>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</si>
  <si>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</si>
  <si>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</si>
  <si>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Firma Autorizada</t>
  </si>
  <si>
    <t>Calibrado por:</t>
  </si>
  <si>
    <t>Nombre del Metrólogo</t>
  </si>
  <si>
    <t>±U (g)</t>
  </si>
  <si>
    <t>6.   TRAZABILIDAD METROLÓGICA</t>
  </si>
  <si>
    <t>Intervalo</t>
  </si>
  <si>
    <t>Clase de Pesas</t>
  </si>
  <si>
    <t>Pesas Utilizadas</t>
  </si>
  <si>
    <t>No. Certificado</t>
  </si>
  <si>
    <t>Objeto:</t>
  </si>
  <si>
    <t xml:space="preserve">Fabricante: </t>
  </si>
  <si>
    <t>Modelo:</t>
  </si>
  <si>
    <t xml:space="preserve">Carga Máx.:                      </t>
  </si>
  <si>
    <t xml:space="preserve">Carga Mín.:                       </t>
  </si>
  <si>
    <t xml:space="preserve">División de escala:         </t>
  </si>
  <si>
    <t xml:space="preserve">Escalón de verificación: </t>
  </si>
  <si>
    <t>En la calibración se utilizó el método establecido en el documento normativo guía para la calibración de los instrumentos para pesaje de funcionamiento no automático (SIM MWG7/cg-01v.00) .</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</si>
  <si>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</si>
  <si>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</si>
  <si>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</si>
  <si>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</si>
  <si>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</si>
  <si>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</si>
  <si>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</si>
  <si>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</si>
  <si>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</si>
  <si>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</si>
  <si>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</si>
  <si>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</si>
  <si>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</si>
  <si>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</si>
  <si>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</si>
  <si>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</si>
  <si>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</si>
  <si>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INM 4216</t>
  </si>
  <si>
    <t>INM 4217</t>
  </si>
  <si>
    <t xml:space="preserve">Carga </t>
  </si>
  <si>
    <t>Valor Nominal</t>
  </si>
  <si>
    <t>Carga Baja</t>
  </si>
  <si>
    <t xml:space="preserve">Cumple </t>
  </si>
  <si>
    <t>SI/NO</t>
  </si>
  <si>
    <t>Dirección del Solicitante</t>
  </si>
  <si>
    <t>FIRMAS AUTORIZADAS:</t>
  </si>
  <si>
    <t>………………………..FIN DE ESTE DOCUMENTO………………………..</t>
  </si>
  <si>
    <t>Carga Media</t>
  </si>
  <si>
    <r>
      <t xml:space="preserve">Prueba de error de indicación </t>
    </r>
    <r>
      <rPr>
        <sz val="10"/>
        <color theme="1"/>
        <rFont val="Arial"/>
        <family val="2"/>
      </rPr>
      <t>(redondeo de la indicación sin carga</t>
    </r>
    <r>
      <rPr>
        <b/>
        <sz val="10"/>
        <color theme="1"/>
        <rFont val="Arial"/>
        <family val="2"/>
      </rPr>
      <t>)</t>
    </r>
  </si>
  <si>
    <t>Grados efectivos de libertad Ʋ= n-3</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</si>
  <si>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</si>
  <si>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</si>
  <si>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</si>
  <si>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</si>
  <si>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</si>
  <si>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</si>
  <si>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</si>
  <si>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t>I</t>
  </si>
  <si>
    <t>E</t>
  </si>
  <si>
    <t xml:space="preserve">u </t>
  </si>
  <si>
    <t>Masa Convencional Anterior (g)</t>
  </si>
  <si>
    <t>Masa Convencional Actual (g)</t>
  </si>
  <si>
    <t>Fecha de calibración Actual</t>
  </si>
  <si>
    <t>Certificado Actual</t>
  </si>
  <si>
    <t>Error (mg) Año Anterior</t>
  </si>
  <si>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</si>
  <si>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</si>
  <si>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u</t>
    </r>
    <r>
      <rPr>
        <b/>
        <i/>
        <vertAlign val="superscript"/>
        <sz val="11"/>
        <color theme="1"/>
        <rFont val="Arial"/>
        <family val="2"/>
      </rPr>
      <t>2</t>
    </r>
    <r>
      <rPr>
        <b/>
        <i/>
        <sz val="11"/>
        <color theme="1"/>
        <rFont val="Arial"/>
        <family val="2"/>
      </rPr>
      <t>(R( ecc))=</t>
    </r>
  </si>
  <si>
    <r>
      <t>u (E</t>
    </r>
    <r>
      <rPr>
        <b/>
        <i/>
        <vertAlign val="subscript"/>
        <sz val="11"/>
        <color theme="1"/>
        <rFont val="Arial"/>
        <family val="2"/>
      </rPr>
      <t>appr</t>
    </r>
    <r>
      <rPr>
        <b/>
        <i/>
        <sz val="11"/>
        <color theme="1"/>
        <rFont val="Arial"/>
        <family val="2"/>
      </rPr>
      <t>)</t>
    </r>
  </si>
  <si>
    <r>
      <t>U(E</t>
    </r>
    <r>
      <rPr>
        <b/>
        <i/>
        <vertAlign val="subscript"/>
        <sz val="11"/>
        <color theme="1"/>
        <rFont val="Arial"/>
        <family val="2"/>
      </rPr>
      <t>appr</t>
    </r>
    <r>
      <rPr>
        <b/>
        <i/>
        <sz val="11"/>
        <color theme="1"/>
        <rFont val="Arial"/>
        <family val="2"/>
      </rPr>
      <t>)</t>
    </r>
  </si>
  <si>
    <t>R</t>
  </si>
  <si>
    <t>U(Eappr) Reportar</t>
  </si>
  <si>
    <t>RELATIVA</t>
  </si>
  <si>
    <r>
      <t>Min chi</t>
    </r>
    <r>
      <rPr>
        <b/>
        <vertAlign val="superscript"/>
        <sz val="14"/>
        <color theme="0"/>
        <rFont val="Arial"/>
        <family val="2"/>
      </rPr>
      <t>2</t>
    </r>
  </si>
  <si>
    <r>
      <t>APROXIMACIÓN POR LÍNEA RECTA QUE CRUZA EN CERO   E</t>
    </r>
    <r>
      <rPr>
        <b/>
        <vertAlign val="subscript"/>
        <sz val="10"/>
        <color theme="1"/>
        <rFont val="Arial"/>
        <family val="2"/>
      </rPr>
      <t>appr</t>
    </r>
  </si>
  <si>
    <r>
      <t>n</t>
    </r>
    <r>
      <rPr>
        <b/>
        <vertAlign val="subscript"/>
        <sz val="14"/>
        <color theme="0"/>
        <rFont val="Arial"/>
        <family val="2"/>
      </rPr>
      <t>a</t>
    </r>
  </si>
  <si>
    <r>
      <t>n</t>
    </r>
    <r>
      <rPr>
        <b/>
        <vertAlign val="subscript"/>
        <sz val="14"/>
        <color theme="0"/>
        <rFont val="Arial"/>
        <family val="2"/>
      </rPr>
      <t>par</t>
    </r>
  </si>
  <si>
    <t xml:space="preserve">5.   CONDICIONES AMBIENTALES  </t>
  </si>
  <si>
    <t>Adimensional</t>
  </si>
  <si>
    <t>U % Relativa</t>
  </si>
  <si>
    <t>Masa  Nominal (g)</t>
  </si>
  <si>
    <t>CALIBRACIÓN EN LABORATORIO SIC</t>
  </si>
  <si>
    <t>U % RELATIVA</t>
  </si>
  <si>
    <t>EMP (OIML R 111-1) (mg) F1</t>
  </si>
  <si>
    <t>gramos</t>
  </si>
  <si>
    <t>U % Relativa Aproximada formula</t>
  </si>
  <si>
    <t>CMC % Relativa</t>
  </si>
  <si>
    <t>ERROR DE INDICACIÓN</t>
  </si>
  <si>
    <t>Error (mg) Año Actual</t>
  </si>
  <si>
    <t>Deriva  (mg)</t>
  </si>
  <si>
    <t>Factor de cobertura según certificado k=</t>
  </si>
  <si>
    <t>Promedio Condiciones Ambientales Corregidas Finales</t>
  </si>
  <si>
    <t>Promedio Condiciones Ambientales Corregidas  Iniciales</t>
  </si>
  <si>
    <t xml:space="preserve">INCERTIDUMBRE EXPANDIDA RELATIVA % </t>
  </si>
  <si>
    <t xml:space="preserve">INCERTIDUMBRE EXPANDIDA (mg) </t>
  </si>
  <si>
    <t>FACTOR DE COBERTURA CALCULADO</t>
  </si>
  <si>
    <t>"+"(EMP) en Uso</t>
  </si>
  <si>
    <t>"-"(EMP) en Uso</t>
  </si>
  <si>
    <t>Aporte a la Incertidumbre %</t>
  </si>
  <si>
    <t>k=1,65</t>
  </si>
  <si>
    <t>k= 2,0</t>
  </si>
  <si>
    <t>"La incertidumbre expandida de la medición reportada se establece como la incertidumbre estándar de medición multiplicada por el factor de cobertura "k",y la probabilidad de cobertura,  la cual debe ser aproximada al 95% y no menor a este valor".</t>
  </si>
  <si>
    <t>% hr</t>
  </si>
  <si>
    <t>% hr m</t>
  </si>
  <si>
    <t>% hr b</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</si>
  <si>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</si>
  <si>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V 1 RL.  8200 kg</t>
  </si>
  <si>
    <t>ERROR DE INDICACIÓN   Después de Ajuste (mg)</t>
  </si>
  <si>
    <t>ERROR DE INDICACIÓN Después de Ajuste  (g)</t>
  </si>
  <si>
    <t>según certificado pesas patrón</t>
  </si>
  <si>
    <t>Humedad relativa (% hr)</t>
  </si>
  <si>
    <t>Masa convencional actual (-) Masa convencional Anterior</t>
  </si>
  <si>
    <t>APROXIMACIÓN POR LÍNEA RECTA QUE CRUZA POR CERO PARA EL ERROR   (mg)</t>
  </si>
  <si>
    <t>Número de serie:</t>
  </si>
  <si>
    <t>Xi</t>
  </si>
  <si>
    <t>Yi</t>
  </si>
  <si>
    <t>n=</t>
  </si>
  <si>
    <t>Xi*Yi</t>
  </si>
  <si>
    <t>Media Xi</t>
  </si>
  <si>
    <t>Media Yi</t>
  </si>
  <si>
    <t>m</t>
  </si>
  <si>
    <t>b</t>
  </si>
  <si>
    <t>Fecha</t>
  </si>
  <si>
    <t>Mínimo</t>
  </si>
  <si>
    <t>Máximo</t>
  </si>
  <si>
    <t>Hora Inicio</t>
  </si>
  <si>
    <t>Hora Final</t>
  </si>
  <si>
    <t>XXXX-XX-XX</t>
  </si>
  <si>
    <t>5 g a 8 200 g</t>
  </si>
  <si>
    <t>Esta prueba evalúa las indicaciones de una misma carga, ubicada en diferentes posiciones del receptor de carga (figura 1), se realizó con las indicaciones consideradas por el fabricante de acuerdo a la Guía SIM MWG7/cg-01/v.00.</t>
  </si>
  <si>
    <t>(Sumatorias)</t>
  </si>
  <si>
    <t xml:space="preserve">Regresión </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</si>
  <si>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</si>
  <si>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</si>
  <si>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</si>
  <si>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</si>
  <si>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</si>
  <si>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</si>
  <si>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</si>
  <si>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Este certificado de calibración no puede ser reproducido parcial ni totalmente, excepto con la autorización del Laboratorio de la Superintendencia de   Industria y Comercio.</t>
  </si>
  <si>
    <t>El certificado de calibración sin las firmas autorizadas no es válido.</t>
  </si>
  <si>
    <t>La incertidumbre estándar de medición se multiplica por un factor de cobertura "k"=2</t>
  </si>
  <si>
    <t>Los resultados de la calibración son trazables al Sistema Internacional (SI).</t>
  </si>
  <si>
    <t xml:space="preserve"> Fecha de emisión: </t>
  </si>
  <si>
    <t>Masa para completar la carga Máx. (g)</t>
  </si>
  <si>
    <t>Termohigrómetro</t>
  </si>
  <si>
    <r>
      <t xml:space="preserve">Mínimo </t>
    </r>
    <r>
      <rPr>
        <b/>
        <sz val="12"/>
        <color rgb="FFFF0000"/>
        <rFont val="Arial"/>
        <family val="2"/>
      </rPr>
      <t>Corregido</t>
    </r>
  </si>
  <si>
    <r>
      <t xml:space="preserve">Máximo </t>
    </r>
    <r>
      <rPr>
        <b/>
        <sz val="12"/>
        <color rgb="FFFF0000"/>
        <rFont val="Arial"/>
        <family val="2"/>
      </rPr>
      <t>Corregido</t>
    </r>
  </si>
  <si>
    <t>Error (g)</t>
  </si>
  <si>
    <r>
      <t>Xi</t>
    </r>
    <r>
      <rPr>
        <b/>
        <vertAlign val="superscript"/>
        <sz val="11"/>
        <color theme="0" tint="-0.14999847407452621"/>
        <rFont val="Arial"/>
        <family val="2"/>
      </rPr>
      <t>2</t>
    </r>
  </si>
  <si>
    <t>Pesas para carga máxima (g) F1</t>
  </si>
  <si>
    <t>CMC Con respecto EMP Masa Patrón (g)</t>
  </si>
  <si>
    <t>MÁX</t>
  </si>
  <si>
    <t>MÍN</t>
  </si>
  <si>
    <t>Masa Nominal (g)</t>
  </si>
  <si>
    <t xml:space="preserve">Incertidumbre expandida de los errores aproximados U(Eappr)     </t>
  </si>
  <si>
    <t>Carga Máx. (g)</t>
  </si>
  <si>
    <t>Carga Mín. (g)</t>
  </si>
  <si>
    <t>Valor Nominal (g)</t>
  </si>
  <si>
    <t>Incertidumbre de Calibración (mg)</t>
  </si>
  <si>
    <t>Lugar y Dirección de Calibración</t>
  </si>
  <si>
    <t>N/A</t>
  </si>
  <si>
    <r>
      <rPr>
        <b/>
        <sz val="10"/>
        <color theme="1"/>
        <rFont val="Tahoma"/>
        <family val="2"/>
      </rPr>
      <t>±</t>
    </r>
    <r>
      <rPr>
        <b/>
        <sz val="10"/>
        <color theme="1"/>
        <rFont val="Arial"/>
        <family val="2"/>
      </rPr>
      <t>(EMP) en Uso</t>
    </r>
  </si>
  <si>
    <t xml:space="preserve">Incertidumbre </t>
  </si>
  <si>
    <t xml:space="preserve"> ±EMP </t>
  </si>
  <si>
    <r>
      <t xml:space="preserve">5 g </t>
    </r>
    <r>
      <rPr>
        <sz val="10"/>
        <color theme="1"/>
        <rFont val="Tahoma"/>
        <family val="2"/>
      </rPr>
      <t>≤</t>
    </r>
    <r>
      <rPr>
        <sz val="10"/>
        <color theme="1"/>
        <rFont val="Arial"/>
        <family val="2"/>
      </rPr>
      <t xml:space="preserve"> m ≤   5 000 g</t>
    </r>
  </si>
  <si>
    <r>
      <t xml:space="preserve">5 000 g </t>
    </r>
    <r>
      <rPr>
        <sz val="10"/>
        <color theme="1"/>
        <rFont val="Tahoma"/>
        <family val="2"/>
      </rPr>
      <t>≤</t>
    </r>
    <r>
      <rPr>
        <sz val="10"/>
        <color theme="1"/>
        <rFont val="Arial"/>
        <family val="2"/>
      </rPr>
      <t xml:space="preserve"> m ≤ 8 200 g</t>
    </r>
  </si>
  <si>
    <t>INM 4629</t>
  </si>
  <si>
    <t>INM 4630</t>
  </si>
  <si>
    <t>INM 4626</t>
  </si>
  <si>
    <t>2020-07-07 / 2020-7-08 / 2020-05-29</t>
  </si>
  <si>
    <t>INM  4629 - INM 4630 - INM 4626</t>
  </si>
  <si>
    <t>INM 4610</t>
  </si>
  <si>
    <t>INM 4611</t>
  </si>
  <si>
    <t>INM 4625</t>
  </si>
  <si>
    <t>2020-06-18 / 2020-06-19/ 2020-05-29</t>
  </si>
  <si>
    <t>INM-4610, INM 4611 - INM 4625</t>
  </si>
  <si>
    <t>INM 4703</t>
  </si>
  <si>
    <t xml:space="preserve">2019-09-24  / 2019-09-25  / 2020-10-02 </t>
  </si>
  <si>
    <t>INM 4216 - INM 4217 -  INM 4703</t>
  </si>
  <si>
    <t>INM 4608</t>
  </si>
  <si>
    <t>INM 4609</t>
  </si>
  <si>
    <t>INM 4623</t>
  </si>
  <si>
    <t>2020-06-18 2020-06-19- 2020-05-29</t>
  </si>
  <si>
    <t>INM 4608 - INM 4609 -   INM 4623</t>
  </si>
  <si>
    <t>INM 4627</t>
  </si>
  <si>
    <t>INM 4628</t>
  </si>
  <si>
    <t>INM 4624</t>
  </si>
  <si>
    <t>2020-07-07 / 2020-07-08 / 2020-05-29</t>
  </si>
  <si>
    <t>INM-4627-INM 4628-INM 4624</t>
  </si>
  <si>
    <t>La declaración de conformidad se aplica a los resultados obtenidos en la prueba de error de indicación, después de ajuste, teniendo en cuenta que el error, más la incertidumbre de medición, y no deberá superar el error máximo permitido (EMP), de acuerdo a los lineamientos de la norma  NTC 2031:2014  en los numerales 3.5.1 - 3.5.2 y 8.4.2 .</t>
  </si>
  <si>
    <t>V 1 RL.  6 kg</t>
  </si>
  <si>
    <t>F 2</t>
  </si>
  <si>
    <t xml:space="preserve">V 2 RL.  8 200 g  </t>
  </si>
  <si>
    <t xml:space="preserve">V 2 RL.  6 000 g  </t>
  </si>
  <si>
    <t xml:space="preserve">V 2 RL.  5 000 g  </t>
  </si>
  <si>
    <t xml:space="preserve">V 2 RL.  2 000 g punto </t>
  </si>
  <si>
    <t xml:space="preserve">V 2 RL.  2 000 g  </t>
  </si>
  <si>
    <t xml:space="preserve">V 2 RL.  1 000 g  </t>
  </si>
  <si>
    <r>
      <t>Densidad del Aire kg/m</t>
    </r>
    <r>
      <rPr>
        <b/>
        <vertAlign val="superscript"/>
        <sz val="12"/>
        <rFont val="Arial"/>
        <family val="2"/>
      </rPr>
      <t>3</t>
    </r>
    <r>
      <rPr>
        <b/>
        <sz val="12"/>
        <rFont val="Arial"/>
        <family val="2"/>
      </rPr>
      <t xml:space="preserve"> Actual</t>
    </r>
  </si>
  <si>
    <t xml:space="preserve">V 2 RL.  4 000 g </t>
  </si>
  <si>
    <t>Responsable de la calibración</t>
  </si>
  <si>
    <t>CMC Balanza   d = 0,1 g</t>
  </si>
  <si>
    <t>Cumple</t>
  </si>
  <si>
    <t>|E|</t>
  </si>
  <si>
    <t>z</t>
  </si>
  <si>
    <t>Nominal</t>
  </si>
  <si>
    <t xml:space="preserve"> Modificación al Certificado N°</t>
  </si>
  <si>
    <t>Hora final</t>
  </si>
  <si>
    <r>
      <rPr>
        <b/>
        <sz val="9"/>
        <rFont val="Arial"/>
        <family val="2"/>
      </rPr>
      <t>NOTA</t>
    </r>
    <r>
      <rPr>
        <sz val="9"/>
        <rFont val="Arial"/>
        <family val="2"/>
      </rPr>
      <t>: Las condiciones ambientales se refieren al sitio y al momento de la calibración.</t>
    </r>
  </si>
  <si>
    <r>
      <rPr>
        <b/>
        <sz val="10"/>
        <rFont val="Tahoma"/>
        <family val="2"/>
      </rPr>
      <t>±</t>
    </r>
    <r>
      <rPr>
        <b/>
        <sz val="10"/>
        <rFont val="Arial"/>
        <family val="2"/>
      </rPr>
      <t>(EMP) en Uso</t>
    </r>
  </si>
  <si>
    <t>El laboratorio no se responsabiliza de los resultados que puedan ser afectados por la desviación del estado en que se recibió el equipo</t>
  </si>
  <si>
    <t>Temperatura °C</t>
  </si>
  <si>
    <t>Viajeras 1  M-015</t>
  </si>
  <si>
    <t>Viajeras 2  M-016</t>
  </si>
  <si>
    <t>±U (g)  CMC</t>
  </si>
  <si>
    <t xml:space="preserve">Carga Max                      </t>
  </si>
  <si>
    <t xml:space="preserve">Carga Min                       </t>
  </si>
  <si>
    <t xml:space="preserve">División de Escala          </t>
  </si>
  <si>
    <t xml:space="preserve">Escalón de verificación    </t>
  </si>
  <si>
    <t>Informe N°</t>
  </si>
  <si>
    <t xml:space="preserve">Solicitante:                    </t>
  </si>
  <si>
    <t xml:space="preserve">Dirección:                       </t>
  </si>
  <si>
    <t xml:space="preserve">Ciudad:                          </t>
  </si>
  <si>
    <t>Fecha de recepción:</t>
  </si>
  <si>
    <t>Fecha del informe:</t>
  </si>
  <si>
    <t>1.   INFORMACIÓN DEL EQUIPO</t>
  </si>
  <si>
    <t>Fabricante:</t>
  </si>
  <si>
    <t xml:space="preserve">Fecha de elaboración:  </t>
  </si>
  <si>
    <t xml:space="preserve">Fecha de emisión:  </t>
  </si>
  <si>
    <t>Instrumento de Pesaje de Funcionamiento No Automático - IPFNA.</t>
  </si>
  <si>
    <r>
      <t xml:space="preserve">GRADOS EFECTIVOS DE LIBERTAD POR MASA DE REFERENCIA 
</t>
    </r>
    <r>
      <rPr>
        <sz val="8"/>
        <color theme="4" tint="-0.249977111117893"/>
        <rFont val="Arial"/>
        <family val="2"/>
      </rPr>
      <t>Welch-Sattertthwaite</t>
    </r>
  </si>
  <si>
    <t>xxxx-xx-xx</t>
  </si>
  <si>
    <t>xxx-xx-xx</t>
  </si>
  <si>
    <t>±(EMP) en Uso</t>
  </si>
  <si>
    <t>5 g ≤ m ≤   5 000 g</t>
  </si>
  <si>
    <t>5 000 g ≤ m ≤ 8 200 g</t>
  </si>
  <si>
    <r>
      <rPr>
        <b/>
        <sz val="12"/>
        <rFont val="Arial"/>
        <family val="2"/>
      </rPr>
      <t xml:space="preserve">     NOTA</t>
    </r>
    <r>
      <rPr>
        <sz val="12"/>
        <rFont val="Arial"/>
        <family val="2"/>
      </rPr>
      <t>: Las condiciones ambientales se refieren al sitio y al momento de la calibración.</t>
    </r>
  </si>
  <si>
    <t xml:space="preserve">Descargar datos del termohigrómetro utilizado 
en la calibración-condiciones ambientales máximas y mínimas </t>
  </si>
  <si>
    <r>
      <t>Masa  Convencional (g)  m</t>
    </r>
    <r>
      <rPr>
        <vertAlign val="subscript"/>
        <sz val="11"/>
        <rFont val="Arial"/>
        <family val="2"/>
      </rPr>
      <t>c</t>
    </r>
  </si>
  <si>
    <t>Incertidumbre (mg)</t>
  </si>
  <si>
    <t>Marcación de la pesa</t>
  </si>
  <si>
    <t>Máxima</t>
  </si>
  <si>
    <t>Mínima</t>
  </si>
  <si>
    <t>HOJA DE CÁLCULO PARA CALIBRACIÓN DE INSTRUMENTOS DE PESAJE 
DE FUNCIONAMIENTO NO AUTOMÁTICO - IPFNA</t>
  </si>
  <si>
    <t>HOJA DE CÁLCULO PARA CALIBRACIÓN DE INSTRUMENTOS DE PESAJE DE FUNCIONAMIENTO NO AUTOMÁTICO - IPFNA</t>
  </si>
  <si>
    <t>Repetibilidad del método</t>
  </si>
  <si>
    <t>Carga mín. (g)</t>
  </si>
  <si>
    <t>Incertidumbre  por empuje</t>
  </si>
  <si>
    <t>Incertidumbre por  deriva</t>
  </si>
  <si>
    <t>IPFNA</t>
  </si>
  <si>
    <t>Código interno
LCB-XX-XXXXX
 N° Radicado</t>
  </si>
  <si>
    <t>N °  Certificado y Estampilla
LCB-XXX-XX</t>
  </si>
  <si>
    <t xml:space="preserve">Error en Masa Convencional </t>
  </si>
  <si>
    <t>Probabilidad de Conformidad</t>
  </si>
  <si>
    <t>Probabilidad de NO Conformidad</t>
  </si>
  <si>
    <t>Fecha de Recepción
Ver registro RT03-F09</t>
  </si>
  <si>
    <r>
      <t>Datos del</t>
    </r>
    <r>
      <rPr>
        <b/>
        <sz val="14"/>
        <color rgb="FFFF0000"/>
        <rFont val="Arial"/>
        <family val="2"/>
      </rPr>
      <t xml:space="preserve"> IPFNA</t>
    </r>
    <r>
      <rPr>
        <b/>
        <sz val="14"/>
        <color theme="0"/>
        <rFont val="Arial"/>
        <family val="2"/>
      </rPr>
      <t xml:space="preserve"> a Calibrar</t>
    </r>
  </si>
  <si>
    <t>Incertidumbre  certificado (mg)</t>
  </si>
  <si>
    <t>Cargas para Error de Indicación (Exactitud) según certificado</t>
  </si>
  <si>
    <t>Grados Efectivos de Libertad de Excentricidad</t>
  </si>
  <si>
    <t>Grados Efectivos de Libertad de Repetibilidad</t>
  </si>
  <si>
    <t>Grados Efectivos de Libertad por Repetibilidad del Método</t>
  </si>
  <si>
    <t>GU 3.3-01 GUÍA PARA LA EXPRESIÓN DE LA INCERDIDUMBRE DE LA MEDICIÓN EN LOS ALCANCES PARA LA CALIBRACIÓN DE INSTRUMENTOS DE PESAJE DE FUNCIONAMIENTO NO AUTOMÁTICO (IPFNA)</t>
  </si>
  <si>
    <t>Humedad Relativa (% hr)</t>
  </si>
  <si>
    <t>Presión Atmosférica (hPa)</t>
  </si>
  <si>
    <t>Instrumento de Pesaje de Funcionamiento no Automático-IPFNA</t>
  </si>
  <si>
    <r>
      <t xml:space="preserve">5 g </t>
    </r>
    <r>
      <rPr>
        <sz val="10"/>
        <color theme="0"/>
        <rFont val="Tahoma"/>
        <family val="2"/>
      </rPr>
      <t>≤</t>
    </r>
    <r>
      <rPr>
        <sz val="10"/>
        <color theme="0"/>
        <rFont val="Arial"/>
        <family val="2"/>
      </rPr>
      <t xml:space="preserve"> m ≤   5 000 g</t>
    </r>
  </si>
  <si>
    <r>
      <t xml:space="preserve">5 000 g </t>
    </r>
    <r>
      <rPr>
        <sz val="10"/>
        <color theme="0"/>
        <rFont val="Tahoma"/>
        <family val="2"/>
      </rPr>
      <t>≤</t>
    </r>
    <r>
      <rPr>
        <sz val="10"/>
        <color theme="0"/>
        <rFont val="Arial"/>
        <family val="2"/>
      </rPr>
      <t xml:space="preserve"> m ≤ 8 200 g</t>
    </r>
  </si>
  <si>
    <t>Realizado por</t>
  </si>
  <si>
    <t>2.  CÓDIGO INTERNO</t>
  </si>
  <si>
    <t>3.   REGISTRO FOTOGRÁFICO</t>
  </si>
  <si>
    <t>Este  Informe de  IPFNA  No aptas, indica  que el instrumento se examinó y se  comparó en las instalaciones del cliente, los patrones empleados y los resultados obtenidos  de  la  calibración, son trazables al (SI) Sistema Internacional.</t>
  </si>
  <si>
    <t>4.   OBSERVACIONES</t>
  </si>
  <si>
    <t>DATOS DEL IPFNA A CALIBRAR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</si>
</sst>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9">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0_ &quot;mN&quot;"/>
    <numFmt numFmtId="176" formatCode="#,##0.0"/>
    <numFmt numFmtId="177" formatCode="#,##0.000"/>
    <numFmt numFmtId="178" formatCode="0.000_ &quot;g&quot;"/>
    <numFmt numFmtId="179" formatCode="0\ 000.0000"/>
    <numFmt numFmtId="180" formatCode="0\ 000"/>
    <numFmt numFmtId="181" formatCode="0\ 000\ .0"/>
    <numFmt numFmtId="182" formatCode="0\ 000.00000"/>
    <numFmt numFmtId="183" formatCode="0\ 000.00"/>
    <numFmt numFmtId="184" formatCode="\ 0\ 000\ 000.00"/>
    <numFmt numFmtId="185" formatCode="\ 0\ 000.0"/>
    <numFmt numFmtId="186" formatCode="#\ ##0"/>
    <numFmt numFmtId="187" formatCode="0.0_ &quot;g&quot;"/>
    <numFmt numFmtId="188" formatCode="0.\ 000\ &quot;g&quot;"/>
    <numFmt numFmtId="189" formatCode="0\ 000\ &quot;g&quot;"/>
    <numFmt numFmtId="190" formatCode="#\ ##0\ .0000"/>
    <numFmt numFmtId="191" formatCode="#\ ##0.0"/>
    <numFmt numFmtId="192" formatCode="##\ ##0.0"/>
    <numFmt numFmtId="193" formatCode="###\ ##0.0"/>
    <numFmt numFmtId="194" formatCode="#.\ ##0;\-#"/>
    <numFmt numFmtId="195" formatCode="0.0000E+00"/>
    <numFmt numFmtId="196" formatCode="####\ ##0\ .0000"/>
    <numFmt numFmtId="197" formatCode="0.000%"/>
    <numFmt numFmtId="198" formatCode="####\ ##0.0"/>
    <numFmt numFmtId="199" formatCode="0\ &quot;g&quot;"/>
    <numFmt numFmtId="200" formatCode="0.0\ &quot;g&quot;"/>
    <numFmt numFmtId="201" formatCode="0\ \ \ \ \ \ \ \ \ \ \ \ \ &quot;Max VALOR GRADOS EFECTIVOS DE LIBERTAD DEL ERROR&quot;"/>
    <numFmt numFmtId="202" formatCode="0.000\ 00"/>
  </numFmts>
  <fonts count="79" x14ac:knownFonts="1">
    <font>
      <sz val="11"/>
      <color theme="1"/>
      <name val="Calibri"/>
      <family val="2"/>
      <scheme val="minor"/>
    </font>
    <font>
      <sz val="12"/>
      <color theme="1"/>
      <name val="Arial"/>
      <family val="2"/>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i/>
      <sz val="12"/>
      <color theme="0"/>
      <name val="Arial"/>
      <family val="2"/>
    </font>
    <font>
      <b/>
      <sz val="12"/>
      <color theme="1"/>
      <name val="Arial"/>
      <family val="2"/>
    </font>
    <font>
      <sz val="9"/>
      <color theme="1"/>
      <name val="Arial"/>
      <family val="2"/>
    </font>
    <font>
      <sz val="12"/>
      <color theme="0"/>
      <name val="Arial"/>
      <family val="2"/>
    </font>
    <font>
      <b/>
      <sz val="9"/>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20"/>
      <color theme="0"/>
      <name val="Arial"/>
      <family val="2"/>
    </font>
    <font>
      <b/>
      <sz val="9"/>
      <color indexed="81"/>
      <name val="Tahoma"/>
      <family val="2"/>
    </font>
    <font>
      <b/>
      <sz val="12"/>
      <color rgb="FFFF0000"/>
      <name val="Arial"/>
      <family val="2"/>
    </font>
    <font>
      <sz val="11"/>
      <color theme="0" tint="-0.14999847407452621"/>
      <name val="Arial"/>
      <family val="2"/>
    </font>
    <font>
      <b/>
      <sz val="11"/>
      <color theme="0" tint="-0.14999847407452621"/>
      <name val="Arial"/>
      <family val="2"/>
    </font>
    <font>
      <b/>
      <vertAlign val="superscript"/>
      <sz val="11"/>
      <color theme="0" tint="-0.14999847407452621"/>
      <name val="Arial"/>
      <family val="2"/>
    </font>
    <font>
      <b/>
      <sz val="12"/>
      <color theme="0" tint="-0.14999847407452621"/>
      <name val="Arial"/>
      <family val="2"/>
    </font>
    <font>
      <sz val="11"/>
      <name val="Calibri"/>
      <family val="2"/>
      <scheme val="minor"/>
    </font>
    <font>
      <b/>
      <sz val="10"/>
      <color theme="1"/>
      <name val="Tahoma"/>
      <family val="2"/>
    </font>
    <font>
      <sz val="10"/>
      <color theme="1"/>
      <name val="Tahoma"/>
      <family val="2"/>
    </font>
    <font>
      <sz val="11"/>
      <color theme="0"/>
      <name val="Calibri"/>
      <family val="2"/>
      <scheme val="minor"/>
    </font>
    <font>
      <sz val="8"/>
      <name val="Calibri"/>
      <family val="2"/>
      <scheme val="minor"/>
    </font>
    <font>
      <b/>
      <sz val="20"/>
      <color theme="1"/>
      <name val="Arial"/>
      <family val="2"/>
    </font>
    <font>
      <b/>
      <sz val="18"/>
      <color theme="1"/>
      <name val="Arial"/>
      <family val="2"/>
    </font>
    <font>
      <sz val="9"/>
      <name val="Arial"/>
      <family val="2"/>
    </font>
    <font>
      <b/>
      <i/>
      <sz val="11"/>
      <name val="Arial"/>
      <family val="2"/>
    </font>
    <font>
      <b/>
      <sz val="10"/>
      <name val="Tahoma"/>
      <family val="2"/>
    </font>
    <font>
      <b/>
      <sz val="8"/>
      <name val="Arial"/>
      <family val="2"/>
    </font>
    <font>
      <sz val="8"/>
      <color theme="4" tint="-0.249977111117893"/>
      <name val="Arial"/>
      <family val="2"/>
    </font>
    <font>
      <vertAlign val="subscript"/>
      <sz val="11"/>
      <name val="Arial"/>
      <family val="2"/>
    </font>
    <font>
      <b/>
      <sz val="18"/>
      <color rgb="FFFF0000"/>
      <name val="Arial"/>
      <family val="2"/>
    </font>
    <font>
      <b/>
      <sz val="14"/>
      <color rgb="FFFF0000"/>
      <name val="Arial"/>
      <family val="2"/>
    </font>
    <font>
      <sz val="10"/>
      <color theme="0"/>
      <name val="Tahoma"/>
      <family val="2"/>
    </font>
    <font>
      <sz val="12"/>
      <color theme="1"/>
      <name val="Calibri"/>
      <family val="2"/>
      <scheme val="minor"/>
    </font>
    <font>
      <b/>
      <sz val="18"/>
      <color theme="0"/>
      <name val="Arial"/>
      <family val="2"/>
    </font>
    <font>
      <b/>
      <sz val="16"/>
      <color theme="1"/>
      <name val="Arial"/>
      <family val="2"/>
    </font>
    <font>
      <b/>
      <sz val="26"/>
      <color theme="1"/>
      <name val="Arial"/>
      <family val="2"/>
    </font>
  </fonts>
  <fills count="30">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DDEBF7"/>
        <bgColor auto="1"/>
      </patternFill>
    </fill>
    <fill>
      <patternFill patternType="solid">
        <fgColor theme="4" tint="0.59999389629810485"/>
        <bgColor indexed="64"/>
      </patternFill>
    </fill>
    <fill>
      <patternFill patternType="solid">
        <fgColor theme="0"/>
        <bgColor auto="1"/>
      </patternFill>
    </fill>
    <fill>
      <patternFill patternType="solid">
        <fgColor rgb="FF8DB4E2"/>
        <bgColor rgb="FF000000"/>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s>
  <cellStyleXfs count="5">
    <xf numFmtId="0" fontId="0" fillId="0" borderId="0"/>
    <xf numFmtId="9" fontId="2" fillId="0" borderId="0" applyFont="0" applyFill="0" applyBorder="0" applyAlignment="0" applyProtection="0"/>
    <xf numFmtId="0" fontId="3" fillId="5" borderId="0" applyNumberFormat="0" applyBorder="0" applyAlignment="0" applyProtection="0"/>
    <xf numFmtId="2" fontId="6" fillId="13" borderId="5" applyFont="0" applyBorder="0" applyAlignment="0">
      <alignment horizontal="center" vertical="center" wrapText="1"/>
      <protection locked="0"/>
    </xf>
    <xf numFmtId="0" fontId="7" fillId="14" borderId="1" applyBorder="0">
      <alignment horizontal="center" vertical="center"/>
    </xf>
  </cellStyleXfs>
  <cellXfs count="1643">
    <xf numFmtId="0" fontId="0" fillId="0" borderId="0" xfId="0"/>
    <xf numFmtId="2" fontId="8" fillId="0" borderId="0" xfId="0" applyNumberFormat="1" applyFont="1" applyProtection="1">
      <protection hidden="1"/>
    </xf>
    <xf numFmtId="0" fontId="8" fillId="2" borderId="0" xfId="0" applyFont="1" applyFill="1" applyBorder="1" applyAlignment="1" applyProtection="1">
      <protection hidden="1"/>
    </xf>
    <xf numFmtId="0" fontId="8" fillId="2" borderId="0" xfId="0"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vertical="center" wrapText="1"/>
      <protection hidden="1"/>
    </xf>
    <xf numFmtId="0" fontId="8" fillId="0" borderId="0" xfId="0" applyFont="1" applyProtection="1">
      <protection hidden="1"/>
    </xf>
    <xf numFmtId="2" fontId="8" fillId="2" borderId="0" xfId="0" applyNumberFormat="1" applyFont="1" applyFill="1" applyBorder="1" applyProtection="1">
      <protection hidden="1"/>
    </xf>
    <xf numFmtId="2" fontId="8" fillId="0" borderId="0" xfId="0" applyNumberFormat="1" applyFont="1" applyFill="1" applyBorder="1" applyProtection="1">
      <protection hidden="1"/>
    </xf>
    <xf numFmtId="2" fontId="8" fillId="2" borderId="0" xfId="0" applyNumberFormat="1" applyFont="1" applyFill="1" applyProtection="1">
      <protection hidden="1"/>
    </xf>
    <xf numFmtId="2" fontId="9" fillId="0" borderId="0" xfId="2" applyNumberFormat="1" applyFont="1" applyFill="1" applyBorder="1" applyAlignment="1" applyProtection="1">
      <alignment horizontal="center" vertical="center"/>
      <protection hidden="1"/>
    </xf>
    <xf numFmtId="2" fontId="10"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wrapText="1"/>
      <protection hidden="1"/>
    </xf>
    <xf numFmtId="2" fontId="10" fillId="0" borderId="0" xfId="2" applyNumberFormat="1" applyFont="1" applyFill="1" applyBorder="1" applyAlignment="1" applyProtection="1">
      <alignment vertical="center"/>
      <protection hidden="1"/>
    </xf>
    <xf numFmtId="2" fontId="10" fillId="0" borderId="0" xfId="2" applyNumberFormat="1" applyFont="1" applyFill="1" applyBorder="1" applyAlignment="1" applyProtection="1">
      <alignment vertical="center" wrapText="1"/>
      <protection hidden="1"/>
    </xf>
    <xf numFmtId="2" fontId="8" fillId="2" borderId="0" xfId="0" applyNumberFormat="1" applyFont="1" applyFill="1" applyBorder="1" applyAlignment="1" applyProtection="1">
      <alignment vertical="center"/>
      <protection hidden="1"/>
    </xf>
    <xf numFmtId="2" fontId="10" fillId="0" borderId="0" xfId="2" applyNumberFormat="1" applyFont="1" applyFill="1" applyBorder="1" applyAlignment="1" applyProtection="1">
      <protection hidden="1"/>
    </xf>
    <xf numFmtId="2" fontId="8" fillId="0" borderId="0" xfId="0" applyNumberFormat="1" applyFont="1" applyAlignment="1" applyProtection="1">
      <alignment vertical="center"/>
      <protection hidden="1"/>
    </xf>
    <xf numFmtId="2" fontId="10" fillId="0" borderId="0" xfId="2" applyNumberFormat="1" applyFont="1" applyFill="1" applyBorder="1" applyAlignment="1" applyProtection="1">
      <alignment horizontal="center"/>
      <protection hidden="1"/>
    </xf>
    <xf numFmtId="2" fontId="10" fillId="0" borderId="0" xfId="2" applyNumberFormat="1" applyFont="1" applyFill="1" applyBorder="1" applyProtection="1">
      <protection hidden="1"/>
    </xf>
    <xf numFmtId="2" fontId="9" fillId="0" borderId="0" xfId="2" applyNumberFormat="1" applyFont="1" applyFill="1" applyBorder="1" applyAlignment="1" applyProtection="1">
      <protection hidden="1"/>
    </xf>
    <xf numFmtId="175" fontId="9" fillId="0" borderId="0" xfId="2" applyNumberFormat="1" applyFont="1" applyFill="1" applyBorder="1" applyAlignment="1" applyProtection="1">
      <protection hidden="1"/>
    </xf>
    <xf numFmtId="2" fontId="13" fillId="0" borderId="0" xfId="0" applyNumberFormat="1" applyFont="1" applyFill="1" applyBorder="1" applyAlignment="1" applyProtection="1">
      <alignment vertical="center" wrapText="1"/>
      <protection hidden="1"/>
    </xf>
    <xf numFmtId="2" fontId="8" fillId="6" borderId="35"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8" fillId="2" borderId="0" xfId="0" applyNumberFormat="1" applyFont="1" applyFill="1" applyBorder="1" applyProtection="1">
      <protection hidden="1"/>
    </xf>
    <xf numFmtId="2" fontId="8" fillId="0" borderId="0" xfId="0" applyNumberFormat="1" applyFont="1" applyFill="1" applyProtection="1">
      <protection hidden="1"/>
    </xf>
    <xf numFmtId="2" fontId="11" fillId="0" borderId="0" xfId="0" applyNumberFormat="1" applyFont="1" applyFill="1" applyBorder="1" applyAlignment="1" applyProtection="1">
      <alignment vertical="center"/>
      <protection hidden="1"/>
    </xf>
    <xf numFmtId="2" fontId="8" fillId="9" borderId="1" xfId="0" applyNumberFormat="1" applyFont="1" applyFill="1" applyBorder="1" applyAlignment="1" applyProtection="1">
      <alignment horizontal="center" vertical="center"/>
      <protection hidden="1"/>
    </xf>
    <xf numFmtId="2" fontId="8" fillId="0" borderId="0" xfId="0" applyNumberFormat="1" applyFont="1" applyBorder="1" applyProtection="1">
      <protection hidden="1"/>
    </xf>
    <xf numFmtId="166" fontId="8" fillId="9" borderId="1"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protection hidden="1"/>
    </xf>
    <xf numFmtId="169" fontId="8" fillId="0" borderId="0" xfId="0" applyNumberFormat="1" applyFont="1" applyFill="1" applyBorder="1" applyProtection="1">
      <protection hidden="1"/>
    </xf>
    <xf numFmtId="169" fontId="10" fillId="9" borderId="1" xfId="0" applyNumberFormat="1" applyFont="1" applyFill="1" applyBorder="1" applyAlignment="1" applyProtection="1">
      <alignment horizontal="center" vertical="center"/>
      <protection hidden="1"/>
    </xf>
    <xf numFmtId="167" fontId="10"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72" fontId="8" fillId="2" borderId="0" xfId="0" applyNumberFormat="1" applyFont="1" applyFill="1" applyBorder="1" applyProtection="1">
      <protection hidden="1"/>
    </xf>
    <xf numFmtId="2" fontId="8" fillId="0" borderId="0" xfId="0" applyNumberFormat="1" applyFont="1" applyAlignment="1" applyProtection="1">
      <alignment horizontal="center"/>
      <protection hidden="1"/>
    </xf>
    <xf numFmtId="2" fontId="8" fillId="2" borderId="0" xfId="0" applyNumberFormat="1" applyFont="1" applyFill="1" applyBorder="1" applyAlignment="1" applyProtection="1">
      <alignment horizontal="left" vertical="center"/>
      <protection hidden="1"/>
    </xf>
    <xf numFmtId="11" fontId="8" fillId="2" borderId="0" xfId="0" applyNumberFormat="1" applyFont="1" applyFill="1" applyBorder="1" applyProtection="1">
      <protection hidden="1"/>
    </xf>
    <xf numFmtId="14" fontId="6" fillId="9" borderId="48" xfId="0" applyNumberFormat="1"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protection hidden="1"/>
    </xf>
    <xf numFmtId="2" fontId="16" fillId="6" borderId="9" xfId="2" applyNumberFormat="1" applyFont="1" applyFill="1" applyBorder="1" applyAlignment="1" applyProtection="1">
      <alignment horizontal="center" vertical="center" wrapText="1"/>
      <protection hidden="1"/>
    </xf>
    <xf numFmtId="2" fontId="16" fillId="6" borderId="10" xfId="2" applyNumberFormat="1" applyFont="1" applyFill="1" applyBorder="1" applyAlignment="1" applyProtection="1">
      <alignment horizontal="center" vertical="center" wrapText="1"/>
      <protection hidden="1"/>
    </xf>
    <xf numFmtId="2" fontId="5" fillId="6" borderId="10" xfId="0" applyNumberFormat="1" applyFont="1" applyFill="1" applyBorder="1" applyAlignment="1" applyProtection="1">
      <alignment horizontal="center" vertical="center" wrapText="1"/>
      <protection hidden="1"/>
    </xf>
    <xf numFmtId="2" fontId="8" fillId="9" borderId="17" xfId="0" applyNumberFormat="1" applyFont="1" applyFill="1" applyBorder="1" applyAlignment="1" applyProtection="1">
      <alignment horizontal="centerContinuous" vertical="center" wrapText="1"/>
      <protection hidden="1"/>
    </xf>
    <xf numFmtId="171" fontId="8" fillId="9" borderId="17" xfId="0" applyNumberFormat="1" applyFont="1" applyFill="1" applyBorder="1" applyAlignment="1" applyProtection="1">
      <alignment horizontal="centerContinuous" vertical="center" wrapText="1"/>
      <protection hidden="1"/>
    </xf>
    <xf numFmtId="1" fontId="8" fillId="9" borderId="17" xfId="0" applyNumberFormat="1" applyFont="1" applyFill="1" applyBorder="1" applyAlignment="1" applyProtection="1">
      <alignment horizontal="centerContinuous" vertical="center" wrapText="1"/>
      <protection hidden="1"/>
    </xf>
    <xf numFmtId="168" fontId="6" fillId="9" borderId="48" xfId="0" applyNumberFormat="1"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horizontal="center" vertical="center"/>
      <protection hidden="1"/>
    </xf>
    <xf numFmtId="2" fontId="1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vertical="center" wrapText="1"/>
      <protection hidden="1"/>
    </xf>
    <xf numFmtId="2" fontId="14" fillId="2" borderId="0" xfId="0" applyNumberFormat="1" applyFont="1" applyFill="1" applyBorder="1" applyProtection="1">
      <protection hidden="1"/>
    </xf>
    <xf numFmtId="171" fontId="13" fillId="9" borderId="35" xfId="0" applyNumberFormat="1" applyFont="1" applyFill="1" applyBorder="1" applyAlignment="1" applyProtection="1">
      <alignment horizontal="center" vertical="center"/>
      <protection hidden="1"/>
    </xf>
    <xf numFmtId="0" fontId="29" fillId="0" borderId="0" xfId="0" applyFont="1" applyProtection="1">
      <protection hidden="1"/>
    </xf>
    <xf numFmtId="0" fontId="29" fillId="0" borderId="0" xfId="0" applyFont="1" applyBorder="1" applyProtection="1">
      <protection hidden="1"/>
    </xf>
    <xf numFmtId="0" fontId="29" fillId="0" borderId="0" xfId="0" applyFont="1" applyAlignment="1" applyProtection="1">
      <alignment horizontal="center" vertical="center"/>
      <protection hidden="1"/>
    </xf>
    <xf numFmtId="0" fontId="28" fillId="0" borderId="4" xfId="0" applyNumberFormat="1" applyFont="1" applyBorder="1" applyAlignment="1" applyProtection="1">
      <protection hidden="1"/>
    </xf>
    <xf numFmtId="0" fontId="28" fillId="0" borderId="5" xfId="0" applyNumberFormat="1" applyFont="1" applyBorder="1" applyAlignment="1" applyProtection="1">
      <protection hidden="1"/>
    </xf>
    <xf numFmtId="0" fontId="28" fillId="0" borderId="39" xfId="0" applyNumberFormat="1" applyFont="1" applyBorder="1" applyAlignment="1" applyProtection="1">
      <protection hidden="1"/>
    </xf>
    <xf numFmtId="0" fontId="29" fillId="0" borderId="0" xfId="0" applyFont="1" applyFill="1" applyBorder="1" applyProtection="1">
      <protection hidden="1"/>
    </xf>
    <xf numFmtId="0" fontId="29" fillId="0" borderId="0" xfId="0" applyFont="1" applyFill="1" applyProtection="1">
      <protection hidden="1"/>
    </xf>
    <xf numFmtId="0" fontId="29" fillId="0" borderId="7" xfId="0" applyNumberFormat="1" applyFont="1" applyFill="1" applyBorder="1" applyProtection="1">
      <protection hidden="1"/>
    </xf>
    <xf numFmtId="0" fontId="29" fillId="0" borderId="8" xfId="0" applyNumberFormat="1" applyFont="1" applyFill="1" applyBorder="1" applyProtection="1">
      <protection hidden="1"/>
    </xf>
    <xf numFmtId="0" fontId="28" fillId="0" borderId="7" xfId="0" applyNumberFormat="1" applyFont="1" applyFill="1" applyBorder="1" applyAlignment="1" applyProtection="1">
      <alignment horizontal="center"/>
      <protection hidden="1"/>
    </xf>
    <xf numFmtId="0" fontId="28" fillId="0" borderId="8" xfId="0" applyNumberFormat="1" applyFont="1" applyFill="1" applyBorder="1" applyAlignment="1" applyProtection="1">
      <alignment horizontal="center"/>
      <protection hidden="1"/>
    </xf>
    <xf numFmtId="0" fontId="28" fillId="0" borderId="8" xfId="0" applyNumberFormat="1" applyFont="1" applyFill="1" applyBorder="1" applyAlignment="1" applyProtection="1">
      <alignment horizontal="center" vertical="center" wrapText="1"/>
      <protection hidden="1"/>
    </xf>
    <xf numFmtId="0" fontId="28" fillId="0" borderId="12" xfId="0" applyNumberFormat="1" applyFont="1" applyFill="1" applyBorder="1" applyAlignment="1" applyProtection="1">
      <alignment horizontal="center"/>
      <protection hidden="1"/>
    </xf>
    <xf numFmtId="0" fontId="29" fillId="0" borderId="39"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28" fillId="0" borderId="0" xfId="0" applyFont="1" applyBorder="1" applyProtection="1">
      <protection hidden="1"/>
    </xf>
    <xf numFmtId="0" fontId="28" fillId="0" borderId="0" xfId="0" applyFont="1" applyFill="1" applyBorder="1" applyProtection="1">
      <protection hidden="1"/>
    </xf>
    <xf numFmtId="0" fontId="28" fillId="0" borderId="0" xfId="0" applyFont="1" applyBorder="1" applyAlignment="1" applyProtection="1">
      <alignment horizontal="center"/>
      <protection hidden="1"/>
    </xf>
    <xf numFmtId="0" fontId="30" fillId="0" borderId="0" xfId="0" applyFont="1" applyBorder="1" applyAlignment="1" applyProtection="1">
      <alignment vertical="center" textRotation="90"/>
      <protection hidden="1"/>
    </xf>
    <xf numFmtId="0" fontId="28" fillId="0" borderId="0" xfId="0" applyFont="1" applyBorder="1" applyAlignment="1" applyProtection="1">
      <alignment horizontal="center" vertical="center"/>
      <protection hidden="1"/>
    </xf>
    <xf numFmtId="0" fontId="29" fillId="0" borderId="22" xfId="0" applyFont="1" applyBorder="1" applyProtection="1">
      <protection hidden="1"/>
    </xf>
    <xf numFmtId="0" fontId="30" fillId="0" borderId="31" xfId="0" applyFont="1" applyBorder="1" applyAlignment="1" applyProtection="1">
      <alignment vertical="center" textRotation="90"/>
      <protection hidden="1"/>
    </xf>
    <xf numFmtId="0" fontId="29" fillId="0" borderId="31" xfId="0" applyFont="1" applyBorder="1" applyAlignment="1" applyProtection="1">
      <protection hidden="1"/>
    </xf>
    <xf numFmtId="0" fontId="29" fillId="0" borderId="31" xfId="0" applyFont="1" applyBorder="1" applyProtection="1">
      <protection hidden="1"/>
    </xf>
    <xf numFmtId="0" fontId="29" fillId="0" borderId="15" xfId="0" applyFont="1" applyBorder="1" applyProtection="1">
      <protection hidden="1"/>
    </xf>
    <xf numFmtId="0" fontId="29" fillId="0" borderId="15" xfId="0" applyFont="1" applyBorder="1" applyAlignment="1" applyProtection="1">
      <alignment horizontal="center" vertical="center"/>
      <protection hidden="1"/>
    </xf>
    <xf numFmtId="0" fontId="29" fillId="0" borderId="16" xfId="0" applyFont="1" applyBorder="1" applyAlignment="1" applyProtection="1">
      <alignment horizontal="center" vertical="center"/>
      <protection hidden="1"/>
    </xf>
    <xf numFmtId="3" fontId="28" fillId="17" borderId="4" xfId="0" applyNumberFormat="1" applyFont="1" applyFill="1" applyBorder="1" applyAlignment="1" applyProtection="1">
      <alignment horizontal="center" vertical="center" wrapText="1"/>
      <protection hidden="1"/>
    </xf>
    <xf numFmtId="0" fontId="28" fillId="0" borderId="0" xfId="0" applyFont="1" applyFill="1" applyBorder="1" applyAlignment="1" applyProtection="1">
      <alignment vertical="center"/>
      <protection hidden="1"/>
    </xf>
    <xf numFmtId="0" fontId="29" fillId="0" borderId="24" xfId="0" applyFont="1" applyBorder="1" applyProtection="1">
      <protection hidden="1"/>
    </xf>
    <xf numFmtId="174" fontId="28" fillId="2" borderId="5" xfId="0" applyNumberFormat="1" applyFont="1" applyFill="1" applyBorder="1" applyAlignment="1" applyProtection="1">
      <alignment horizontal="center" vertical="center"/>
      <protection hidden="1"/>
    </xf>
    <xf numFmtId="0" fontId="28" fillId="0" borderId="41" xfId="0" applyFont="1" applyFill="1" applyBorder="1" applyAlignment="1" applyProtection="1">
      <alignment horizontal="center" vertical="center"/>
      <protection hidden="1"/>
    </xf>
    <xf numFmtId="0" fontId="28" fillId="0" borderId="7" xfId="0" applyFont="1" applyFill="1" applyBorder="1" applyAlignment="1" applyProtection="1">
      <alignment horizontal="center" vertical="center"/>
      <protection hidden="1"/>
    </xf>
    <xf numFmtId="0" fontId="32" fillId="0" borderId="0" xfId="0" applyFont="1" applyProtection="1">
      <protection hidden="1"/>
    </xf>
    <xf numFmtId="0" fontId="29" fillId="0" borderId="59" xfId="0" applyFont="1" applyBorder="1" applyAlignment="1" applyProtection="1">
      <alignment horizontal="center" vertical="center"/>
      <protection hidden="1"/>
    </xf>
    <xf numFmtId="0" fontId="29" fillId="0" borderId="12" xfId="0" applyFont="1" applyFill="1" applyBorder="1" applyProtection="1">
      <protection hidden="1"/>
    </xf>
    <xf numFmtId="0" fontId="28" fillId="0" borderId="43" xfId="0" applyNumberFormat="1" applyFont="1" applyBorder="1" applyAlignment="1" applyProtection="1">
      <protection hidden="1"/>
    </xf>
    <xf numFmtId="0" fontId="28" fillId="0" borderId="20" xfId="0" applyNumberFormat="1" applyFont="1" applyBorder="1" applyAlignment="1" applyProtection="1">
      <protection hidden="1"/>
    </xf>
    <xf numFmtId="0" fontId="29" fillId="0" borderId="44" xfId="0" applyFont="1" applyBorder="1" applyProtection="1">
      <protection hidden="1"/>
    </xf>
    <xf numFmtId="0" fontId="29" fillId="0" borderId="7" xfId="0" applyFont="1" applyBorder="1" applyProtection="1">
      <protection hidden="1"/>
    </xf>
    <xf numFmtId="0" fontId="29" fillId="0" borderId="12" xfId="0" applyFont="1" applyBorder="1" applyProtection="1">
      <protection hidden="1"/>
    </xf>
    <xf numFmtId="0" fontId="29" fillId="0" borderId="43" xfId="0" applyFont="1" applyBorder="1" applyProtection="1">
      <protection hidden="1"/>
    </xf>
    <xf numFmtId="1" fontId="8" fillId="13" borderId="35" xfId="3" applyNumberFormat="1" applyFont="1" applyBorder="1" applyAlignment="1" applyProtection="1">
      <alignment horizontal="center" vertical="center"/>
      <protection locked="0" hidden="1"/>
    </xf>
    <xf numFmtId="171" fontId="8" fillId="7" borderId="15" xfId="0" applyNumberFormat="1" applyFont="1" applyFill="1" applyBorder="1" applyAlignment="1" applyProtection="1">
      <alignment horizontal="center" vertical="center"/>
      <protection locked="0" hidden="1"/>
    </xf>
    <xf numFmtId="171" fontId="8" fillId="4" borderId="15" xfId="0" applyNumberFormat="1" applyFont="1" applyFill="1" applyBorder="1" applyAlignment="1" applyProtection="1">
      <alignment horizontal="center" vertical="center"/>
      <protection locked="0" hidden="1"/>
    </xf>
    <xf numFmtId="171" fontId="8" fillId="7" borderId="35" xfId="0" applyNumberFormat="1" applyFont="1" applyFill="1" applyBorder="1" applyAlignment="1" applyProtection="1">
      <alignment horizontal="center" vertical="center" wrapText="1"/>
      <protection locked="0" hidden="1"/>
    </xf>
    <xf numFmtId="3" fontId="28" fillId="20" borderId="43" xfId="0" applyNumberFormat="1" applyFont="1" applyFill="1" applyBorder="1" applyAlignment="1" applyProtection="1">
      <alignment horizontal="center" vertical="center" wrapText="1"/>
      <protection hidden="1"/>
    </xf>
    <xf numFmtId="0" fontId="29" fillId="0" borderId="4" xfId="0" applyFont="1" applyBorder="1" applyProtection="1">
      <protection hidden="1"/>
    </xf>
    <xf numFmtId="0" fontId="29" fillId="15" borderId="1" xfId="0" applyFont="1" applyFill="1" applyBorder="1" applyAlignment="1" applyProtection="1">
      <alignment horizontal="center" vertical="center"/>
      <protection hidden="1"/>
    </xf>
    <xf numFmtId="169" fontId="29" fillId="15" borderId="1" xfId="0" applyNumberFormat="1" applyFont="1" applyFill="1" applyBorder="1" applyAlignment="1" applyProtection="1">
      <alignment horizontal="center" vertical="center"/>
      <protection hidden="1"/>
    </xf>
    <xf numFmtId="171" fontId="29" fillId="15" borderId="1" xfId="0" applyNumberFormat="1" applyFont="1" applyFill="1" applyBorder="1" applyAlignment="1" applyProtection="1">
      <alignment horizontal="center" vertical="center"/>
      <protection hidden="1"/>
    </xf>
    <xf numFmtId="2" fontId="29" fillId="15" borderId="1" xfId="0" applyNumberFormat="1" applyFont="1" applyFill="1" applyBorder="1" applyAlignment="1" applyProtection="1">
      <alignment horizontal="center" vertical="center"/>
      <protection hidden="1"/>
    </xf>
    <xf numFmtId="0" fontId="29" fillId="15" borderId="8" xfId="0" applyFont="1" applyFill="1" applyBorder="1" applyAlignment="1" applyProtection="1">
      <alignment horizontal="center" vertical="center"/>
      <protection hidden="1"/>
    </xf>
    <xf numFmtId="169" fontId="29" fillId="15" borderId="8" xfId="0" applyNumberFormat="1" applyFont="1" applyFill="1" applyBorder="1" applyAlignment="1" applyProtection="1">
      <alignment horizontal="center" vertical="center"/>
      <protection hidden="1"/>
    </xf>
    <xf numFmtId="0" fontId="29" fillId="15" borderId="4" xfId="0" applyFont="1" applyFill="1" applyBorder="1" applyAlignment="1" applyProtection="1">
      <alignment horizontal="center" vertical="center" wrapText="1"/>
      <protection hidden="1"/>
    </xf>
    <xf numFmtId="0" fontId="29" fillId="15" borderId="5" xfId="0" applyFont="1" applyFill="1" applyBorder="1" applyAlignment="1" applyProtection="1">
      <alignment horizontal="center" vertical="center"/>
      <protection hidden="1"/>
    </xf>
    <xf numFmtId="166" fontId="29" fillId="15" borderId="5" xfId="0" applyNumberFormat="1" applyFont="1" applyFill="1" applyBorder="1" applyAlignment="1" applyProtection="1">
      <alignment horizontal="center" vertical="center"/>
      <protection hidden="1"/>
    </xf>
    <xf numFmtId="2" fontId="29" fillId="15" borderId="5" xfId="0" applyNumberFormat="1" applyFont="1" applyFill="1" applyBorder="1" applyAlignment="1" applyProtection="1">
      <alignment horizontal="center" vertical="center"/>
      <protection hidden="1"/>
    </xf>
    <xf numFmtId="169" fontId="29" fillId="15" borderId="5" xfId="0" applyNumberFormat="1" applyFont="1" applyFill="1" applyBorder="1" applyAlignment="1" applyProtection="1">
      <alignment horizontal="center" vertical="center"/>
      <protection hidden="1"/>
    </xf>
    <xf numFmtId="0" fontId="29" fillId="15" borderId="41" xfId="0" applyFont="1" applyFill="1" applyBorder="1" applyAlignment="1" applyProtection="1">
      <alignment horizontal="center" vertical="center" wrapText="1"/>
      <protection hidden="1"/>
    </xf>
    <xf numFmtId="165" fontId="29" fillId="15" borderId="1" xfId="0" applyNumberFormat="1" applyFont="1" applyFill="1" applyBorder="1" applyAlignment="1" applyProtection="1">
      <alignment horizontal="center" vertical="center"/>
      <protection hidden="1"/>
    </xf>
    <xf numFmtId="0" fontId="29" fillId="15" borderId="7" xfId="0" applyFont="1" applyFill="1" applyBorder="1" applyAlignment="1" applyProtection="1">
      <alignment horizontal="center" vertical="center" wrapText="1"/>
      <protection hidden="1"/>
    </xf>
    <xf numFmtId="171" fontId="29" fillId="15" borderId="8" xfId="0" applyNumberFormat="1" applyFont="1" applyFill="1" applyBorder="1" applyAlignment="1" applyProtection="1">
      <alignment horizontal="center" vertical="center"/>
      <protection hidden="1"/>
    </xf>
    <xf numFmtId="164" fontId="29" fillId="15" borderId="5" xfId="0" applyNumberFormat="1" applyFont="1" applyFill="1" applyBorder="1" applyAlignment="1" applyProtection="1">
      <alignment horizontal="center" vertical="center"/>
      <protection hidden="1"/>
    </xf>
    <xf numFmtId="166" fontId="29" fillId="15" borderId="1" xfId="0" applyNumberFormat="1" applyFont="1" applyFill="1" applyBorder="1" applyAlignment="1" applyProtection="1">
      <alignment horizontal="center" vertical="center"/>
      <protection hidden="1"/>
    </xf>
    <xf numFmtId="164" fontId="29" fillId="15" borderId="1" xfId="0" applyNumberFormat="1" applyFont="1" applyFill="1" applyBorder="1" applyAlignment="1" applyProtection="1">
      <alignment horizontal="center" vertical="center"/>
      <protection hidden="1"/>
    </xf>
    <xf numFmtId="165" fontId="29" fillId="15" borderId="5" xfId="0" applyNumberFormat="1" applyFont="1" applyFill="1" applyBorder="1" applyAlignment="1" applyProtection="1">
      <alignment horizontal="center" vertical="center"/>
      <protection hidden="1"/>
    </xf>
    <xf numFmtId="1" fontId="8" fillId="9" borderId="4" xfId="0" applyNumberFormat="1" applyFont="1" applyFill="1" applyBorder="1" applyAlignment="1" applyProtection="1">
      <alignment horizontal="center" vertical="center"/>
      <protection hidden="1"/>
    </xf>
    <xf numFmtId="1" fontId="8" fillId="9" borderId="41" xfId="0" applyNumberFormat="1" applyFont="1" applyFill="1" applyBorder="1" applyAlignment="1" applyProtection="1">
      <alignment horizontal="center" vertical="center"/>
      <protection hidden="1"/>
    </xf>
    <xf numFmtId="1" fontId="8" fillId="9" borderId="7" xfId="0" applyNumberFormat="1" applyFont="1" applyFill="1" applyBorder="1" applyAlignment="1" applyProtection="1">
      <alignment horizontal="center" vertical="center"/>
      <protection hidden="1"/>
    </xf>
    <xf numFmtId="1" fontId="8" fillId="9" borderId="12" xfId="0" applyNumberFormat="1" applyFont="1" applyFill="1" applyBorder="1" applyAlignment="1" applyProtection="1">
      <alignment horizontal="center" vertical="center"/>
      <protection hidden="1"/>
    </xf>
    <xf numFmtId="2" fontId="8"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8" fillId="6" borderId="15" xfId="0" applyNumberFormat="1" applyFont="1" applyFill="1" applyBorder="1" applyProtection="1">
      <protection hidden="1"/>
    </xf>
    <xf numFmtId="167" fontId="10" fillId="9" borderId="4" xfId="0" applyNumberFormat="1" applyFont="1" applyFill="1" applyBorder="1" applyAlignment="1" applyProtection="1">
      <alignment horizontal="center" vertical="center"/>
      <protection hidden="1"/>
    </xf>
    <xf numFmtId="167" fontId="10" fillId="9" borderId="5" xfId="0" applyNumberFormat="1" applyFont="1" applyFill="1" applyBorder="1" applyAlignment="1" applyProtection="1">
      <alignment horizontal="center" vertical="center"/>
      <protection hidden="1"/>
    </xf>
    <xf numFmtId="167" fontId="10" fillId="9" borderId="41" xfId="0" applyNumberFormat="1" applyFont="1" applyFill="1" applyBorder="1" applyAlignment="1" applyProtection="1">
      <alignment horizontal="center" vertical="center"/>
      <protection hidden="1"/>
    </xf>
    <xf numFmtId="169" fontId="10" fillId="9" borderId="41" xfId="0" applyNumberFormat="1" applyFont="1" applyFill="1" applyBorder="1" applyAlignment="1" applyProtection="1">
      <alignment horizontal="center" vertical="center"/>
      <protection hidden="1"/>
    </xf>
    <xf numFmtId="166" fontId="8" fillId="9" borderId="8" xfId="0" applyNumberFormat="1" applyFont="1" applyFill="1" applyBorder="1" applyAlignment="1" applyProtection="1">
      <alignment horizontal="center" vertical="center"/>
      <protection hidden="1"/>
    </xf>
    <xf numFmtId="164" fontId="8" fillId="9" borderId="42" xfId="0" applyNumberFormat="1" applyFont="1" applyFill="1" applyBorder="1" applyAlignment="1" applyProtection="1">
      <alignment horizontal="center" vertical="center"/>
      <protection hidden="1"/>
    </xf>
    <xf numFmtId="164" fontId="8" fillId="9" borderId="12"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protection hidden="1"/>
    </xf>
    <xf numFmtId="171" fontId="8"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39" xfId="0" applyNumberFormat="1" applyFont="1" applyFill="1" applyBorder="1" applyAlignment="1" applyProtection="1">
      <alignment horizontal="center" vertical="center" wrapText="1"/>
      <protection hidden="1"/>
    </xf>
    <xf numFmtId="171" fontId="13" fillId="9" borderId="42"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5" fillId="16" borderId="4" xfId="0" applyFont="1" applyFill="1" applyBorder="1" applyAlignment="1" applyProtection="1">
      <alignment horizontal="left" vertical="center" wrapText="1"/>
      <protection hidden="1"/>
    </xf>
    <xf numFmtId="0" fontId="8" fillId="9" borderId="5" xfId="0" applyFont="1" applyFill="1" applyBorder="1" applyAlignment="1" applyProtection="1">
      <alignment horizontal="center" vertical="center"/>
      <protection hidden="1"/>
    </xf>
    <xf numFmtId="0" fontId="5" fillId="16" borderId="5" xfId="0" applyFont="1" applyFill="1" applyBorder="1" applyAlignment="1" applyProtection="1">
      <alignment horizontal="left" vertical="center" wrapText="1"/>
      <protection hidden="1"/>
    </xf>
    <xf numFmtId="1" fontId="8" fillId="9" borderId="5" xfId="0" applyNumberFormat="1" applyFont="1" applyFill="1" applyBorder="1" applyAlignment="1" applyProtection="1">
      <alignment horizontal="center" vertical="center"/>
      <protection hidden="1"/>
    </xf>
    <xf numFmtId="0" fontId="34" fillId="16" borderId="5" xfId="0" applyFont="1" applyFill="1" applyBorder="1" applyAlignment="1" applyProtection="1">
      <alignment horizontal="left" vertical="center" wrapText="1"/>
      <protection hidden="1"/>
    </xf>
    <xf numFmtId="1" fontId="8" fillId="9" borderId="39" xfId="0" applyNumberFormat="1" applyFont="1" applyFill="1" applyBorder="1" applyAlignment="1" applyProtection="1">
      <alignment horizontal="center" vertical="center" wrapText="1"/>
      <protection hidden="1"/>
    </xf>
    <xf numFmtId="0" fontId="34" fillId="16" borderId="8" xfId="0"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protection hidden="1"/>
    </xf>
    <xf numFmtId="0" fontId="5" fillId="16" borderId="8" xfId="0" applyFont="1" applyFill="1" applyBorder="1" applyAlignment="1" applyProtection="1">
      <alignment horizontal="left" vertical="center" wrapText="1"/>
      <protection hidden="1"/>
    </xf>
    <xf numFmtId="0" fontId="8" fillId="9" borderId="12" xfId="0" applyFont="1" applyFill="1" applyBorder="1" applyAlignment="1" applyProtection="1">
      <alignment horizontal="center" vertical="center"/>
      <protection hidden="1"/>
    </xf>
    <xf numFmtId="0" fontId="8" fillId="9" borderId="42" xfId="0" applyFont="1" applyFill="1" applyBorder="1" applyAlignment="1" applyProtection="1">
      <alignment horizontal="center" vertical="center"/>
      <protection hidden="1"/>
    </xf>
    <xf numFmtId="2" fontId="8" fillId="9" borderId="57" xfId="0" applyNumberFormat="1" applyFont="1" applyFill="1" applyBorder="1" applyAlignment="1" applyProtection="1">
      <alignment horizontal="centerContinuous" vertical="center" wrapText="1"/>
      <protection hidden="1"/>
    </xf>
    <xf numFmtId="2" fontId="8" fillId="9" borderId="65" xfId="0" applyNumberFormat="1" applyFont="1" applyFill="1" applyBorder="1" applyAlignment="1" applyProtection="1">
      <alignment horizontal="centerContinuous" vertical="center" wrapText="1"/>
      <protection hidden="1"/>
    </xf>
    <xf numFmtId="2" fontId="8" fillId="9" borderId="68" xfId="0" applyNumberFormat="1" applyFont="1" applyFill="1" applyBorder="1" applyAlignment="1" applyProtection="1">
      <alignment horizontal="centerContinuous" vertical="center" wrapText="1"/>
      <protection hidden="1"/>
    </xf>
    <xf numFmtId="1" fontId="8" fillId="9" borderId="55" xfId="0" applyNumberFormat="1" applyFont="1" applyFill="1" applyBorder="1" applyAlignment="1" applyProtection="1">
      <alignment horizontal="centerContinuous" vertical="center" wrapText="1"/>
      <protection hidden="1"/>
    </xf>
    <xf numFmtId="2" fontId="8" fillId="9" borderId="6" xfId="0" applyNumberFormat="1" applyFont="1" applyFill="1" applyBorder="1" applyAlignment="1" applyProtection="1">
      <alignment horizontal="centerContinuous" vertical="center" wrapText="1"/>
      <protection hidden="1"/>
    </xf>
    <xf numFmtId="1" fontId="8" fillId="13" borderId="56" xfId="3" applyNumberFormat="1" applyFont="1" applyBorder="1" applyAlignment="1" applyProtection="1">
      <alignment horizontal="center" vertical="center"/>
      <protection locked="0" hidden="1"/>
    </xf>
    <xf numFmtId="2" fontId="8" fillId="6" borderId="10" xfId="0" applyNumberFormat="1" applyFont="1" applyFill="1" applyBorder="1" applyAlignment="1" applyProtection="1">
      <alignment horizontal="center" vertical="center" wrapText="1"/>
      <protection hidden="1"/>
    </xf>
    <xf numFmtId="169" fontId="8" fillId="6" borderId="70" xfId="0" applyNumberFormat="1" applyFont="1" applyFill="1" applyBorder="1" applyAlignment="1" applyProtection="1">
      <alignment horizontal="center" vertical="center"/>
      <protection hidden="1"/>
    </xf>
    <xf numFmtId="169" fontId="8" fillId="6" borderId="71"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65" fontId="8" fillId="9" borderId="5" xfId="0" applyNumberFormat="1" applyFont="1" applyFill="1" applyBorder="1" applyAlignment="1" applyProtection="1">
      <alignment horizontal="center" vertical="center"/>
      <protection hidden="1"/>
    </xf>
    <xf numFmtId="2" fontId="17" fillId="6" borderId="7" xfId="0" applyNumberFormat="1" applyFont="1" applyFill="1" applyBorder="1" applyAlignment="1" applyProtection="1">
      <alignment horizontal="center" vertical="center" wrapText="1"/>
      <protection hidden="1"/>
    </xf>
    <xf numFmtId="2" fontId="17" fillId="6" borderId="8"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0" fontId="4" fillId="6" borderId="5" xfId="2" applyFont="1" applyFill="1" applyBorder="1" applyAlignment="1" applyProtection="1">
      <alignment horizontal="center" vertical="center"/>
      <protection hidden="1"/>
    </xf>
    <xf numFmtId="0" fontId="35" fillId="6" borderId="8" xfId="2" applyFont="1" applyFill="1" applyBorder="1" applyAlignment="1" applyProtection="1">
      <alignment horizontal="center" vertical="center"/>
      <protection hidden="1"/>
    </xf>
    <xf numFmtId="0" fontId="28" fillId="0" borderId="39" xfId="0" applyFont="1" applyFill="1" applyBorder="1" applyAlignment="1" applyProtection="1">
      <alignment vertical="center"/>
      <protection hidden="1"/>
    </xf>
    <xf numFmtId="2" fontId="37" fillId="6" borderId="35" xfId="0" applyNumberFormat="1" applyFont="1" applyFill="1" applyBorder="1" applyAlignment="1" applyProtection="1">
      <alignment horizontal="center" vertical="center"/>
      <protection hidden="1"/>
    </xf>
    <xf numFmtId="0" fontId="29" fillId="0" borderId="58" xfId="0" applyFont="1" applyBorder="1" applyAlignment="1" applyProtection="1">
      <alignment horizontal="center" vertical="center"/>
      <protection hidden="1"/>
    </xf>
    <xf numFmtId="0" fontId="29" fillId="0" borderId="51" xfId="0" applyFont="1" applyBorder="1" applyProtection="1">
      <protection hidden="1"/>
    </xf>
    <xf numFmtId="0" fontId="29" fillId="0" borderId="51" xfId="0" applyFont="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protection hidden="1"/>
    </xf>
    <xf numFmtId="171" fontId="10" fillId="6" borderId="9" xfId="0" applyNumberFormat="1" applyFont="1" applyFill="1" applyBorder="1" applyAlignment="1" applyProtection="1">
      <alignment horizontal="center" vertical="center"/>
      <protection hidden="1"/>
    </xf>
    <xf numFmtId="171" fontId="10" fillId="6" borderId="10" xfId="0" applyNumberFormat="1" applyFont="1" applyFill="1" applyBorder="1" applyAlignment="1" applyProtection="1">
      <alignment horizontal="center" vertical="center"/>
      <protection hidden="1"/>
    </xf>
    <xf numFmtId="171" fontId="10" fillId="6" borderId="11" xfId="0" applyNumberFormat="1" applyFont="1" applyFill="1" applyBorder="1" applyAlignment="1" applyProtection="1">
      <alignment horizontal="center" vertical="center"/>
      <protection hidden="1"/>
    </xf>
    <xf numFmtId="1" fontId="8" fillId="9" borderId="68" xfId="0" applyNumberFormat="1" applyFont="1" applyFill="1" applyBorder="1" applyAlignment="1" applyProtection="1">
      <alignment horizontal="centerContinuous" vertical="center" wrapText="1"/>
      <protection hidden="1"/>
    </xf>
    <xf numFmtId="0" fontId="7" fillId="2" borderId="0" xfId="0" applyFont="1" applyFill="1" applyBorder="1" applyAlignment="1" applyProtection="1">
      <alignment vertical="center" wrapText="1"/>
      <protection hidden="1"/>
    </xf>
    <xf numFmtId="0" fontId="6"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6" fillId="0" borderId="0" xfId="0" applyFont="1" applyAlignment="1" applyProtection="1">
      <alignment vertical="center" wrapText="1"/>
      <protection hidden="1"/>
    </xf>
    <xf numFmtId="164" fontId="8" fillId="0" borderId="0" xfId="0" applyNumberFormat="1" applyFont="1" applyProtection="1">
      <protection hidden="1"/>
    </xf>
    <xf numFmtId="2" fontId="13" fillId="6" borderId="14" xfId="0" applyNumberFormat="1" applyFont="1" applyFill="1" applyBorder="1" applyAlignment="1" applyProtection="1">
      <alignment horizontal="center" vertical="center"/>
      <protection hidden="1"/>
    </xf>
    <xf numFmtId="171" fontId="13" fillId="9" borderId="40" xfId="0" applyNumberFormat="1" applyFont="1" applyFill="1" applyBorder="1" applyAlignment="1" applyProtection="1">
      <alignment horizontal="center" vertical="center"/>
      <protection hidden="1"/>
    </xf>
    <xf numFmtId="171" fontId="8" fillId="0" borderId="0" xfId="0" applyNumberFormat="1" applyFont="1" applyFill="1" applyBorder="1" applyProtection="1">
      <protection hidden="1"/>
    </xf>
    <xf numFmtId="2" fontId="13" fillId="9" borderId="12"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28" fillId="6" borderId="41" xfId="0" applyNumberFormat="1" applyFont="1" applyFill="1" applyBorder="1" applyAlignment="1" applyProtection="1">
      <alignment horizontal="center" vertical="center"/>
      <protection hidden="1"/>
    </xf>
    <xf numFmtId="2" fontId="9" fillId="6" borderId="8" xfId="0" applyNumberFormat="1" applyFont="1" applyFill="1" applyBorder="1" applyAlignment="1" applyProtection="1">
      <alignment horizontal="center" vertical="center"/>
      <protection hidden="1"/>
    </xf>
    <xf numFmtId="2" fontId="13" fillId="6" borderId="49" xfId="0" applyNumberFormat="1" applyFont="1" applyFill="1" applyBorder="1" applyAlignment="1" applyProtection="1">
      <alignment horizontal="center" vertical="center" wrapText="1"/>
      <protection hidden="1"/>
    </xf>
    <xf numFmtId="0" fontId="38" fillId="12" borderId="74" xfId="0" applyFont="1" applyFill="1" applyBorder="1" applyAlignment="1" applyProtection="1">
      <alignment horizontal="center" vertical="center"/>
      <protection hidden="1"/>
    </xf>
    <xf numFmtId="0" fontId="38" fillId="12" borderId="51" xfId="0" applyFont="1" applyFill="1" applyBorder="1" applyAlignment="1" applyProtection="1">
      <alignment horizontal="center" vertical="center"/>
      <protection hidden="1"/>
    </xf>
    <xf numFmtId="0" fontId="38" fillId="12" borderId="51" xfId="0" applyFont="1" applyFill="1" applyBorder="1" applyAlignment="1" applyProtection="1">
      <alignment horizontal="center" vertical="center" wrapText="1"/>
      <protection hidden="1"/>
    </xf>
    <xf numFmtId="0" fontId="38" fillId="12" borderId="59" xfId="0"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vertical="center"/>
      <protection locked="0" hidden="1"/>
    </xf>
    <xf numFmtId="179" fontId="29" fillId="15" borderId="1" xfId="0" applyNumberFormat="1" applyFont="1" applyFill="1" applyBorder="1" applyAlignment="1" applyProtection="1">
      <alignment horizontal="center" vertical="center"/>
      <protection hidden="1"/>
    </xf>
    <xf numFmtId="182" fontId="8" fillId="9" borderId="1"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protection hidden="1"/>
    </xf>
    <xf numFmtId="0" fontId="28" fillId="19" borderId="4" xfId="0" applyFont="1" applyFill="1" applyBorder="1" applyAlignment="1" applyProtection="1">
      <alignment horizontal="center" vertical="center"/>
      <protection hidden="1"/>
    </xf>
    <xf numFmtId="0" fontId="28" fillId="19" borderId="5" xfId="0" applyFont="1" applyFill="1" applyBorder="1" applyAlignment="1" applyProtection="1">
      <alignment horizontal="center" vertical="center"/>
      <protection hidden="1"/>
    </xf>
    <xf numFmtId="171" fontId="28" fillId="19" borderId="5" xfId="0" applyNumberFormat="1" applyFont="1" applyFill="1" applyBorder="1" applyAlignment="1" applyProtection="1">
      <alignment horizontal="center" vertical="center"/>
      <protection hidden="1"/>
    </xf>
    <xf numFmtId="0" fontId="28" fillId="19" borderId="41" xfId="0" applyFont="1" applyFill="1" applyBorder="1" applyAlignment="1" applyProtection="1">
      <alignment horizontal="center" vertical="center"/>
      <protection hidden="1"/>
    </xf>
    <xf numFmtId="0" fontId="28" fillId="19" borderId="42" xfId="0" applyFont="1" applyFill="1" applyBorder="1" applyAlignment="1" applyProtection="1">
      <alignment horizontal="center" vertical="center"/>
      <protection hidden="1"/>
    </xf>
    <xf numFmtId="0" fontId="28" fillId="19" borderId="12" xfId="0" applyFont="1" applyFill="1" applyBorder="1" applyAlignment="1" applyProtection="1">
      <alignment horizontal="center" vertical="center"/>
      <protection hidden="1"/>
    </xf>
    <xf numFmtId="0" fontId="28" fillId="19" borderId="39" xfId="0" applyFont="1" applyFill="1" applyBorder="1" applyAlignment="1" applyProtection="1">
      <alignment horizontal="center" vertical="center"/>
      <protection hidden="1"/>
    </xf>
    <xf numFmtId="171" fontId="28" fillId="19" borderId="1" xfId="0" applyNumberFormat="1" applyFont="1" applyFill="1" applyBorder="1" applyAlignment="1" applyProtection="1">
      <alignment horizontal="center" vertical="center"/>
      <protection hidden="1"/>
    </xf>
    <xf numFmtId="0" fontId="28" fillId="19" borderId="7" xfId="0" applyFont="1" applyFill="1" applyBorder="1" applyAlignment="1" applyProtection="1">
      <alignment horizontal="center" vertical="center"/>
      <protection hidden="1"/>
    </xf>
    <xf numFmtId="0" fontId="28" fillId="19" borderId="8" xfId="0" applyFont="1" applyFill="1" applyBorder="1" applyAlignment="1" applyProtection="1">
      <alignment horizontal="center" vertical="center"/>
      <protection hidden="1"/>
    </xf>
    <xf numFmtId="0" fontId="28" fillId="19" borderId="1" xfId="0" applyFont="1" applyFill="1" applyBorder="1" applyAlignment="1" applyProtection="1">
      <alignment horizontal="center" vertical="center"/>
      <protection hidden="1"/>
    </xf>
    <xf numFmtId="171" fontId="28" fillId="19" borderId="4" xfId="0" applyNumberFormat="1" applyFont="1" applyFill="1" applyBorder="1" applyAlignment="1" applyProtection="1">
      <alignment horizontal="center" vertical="center"/>
      <protection hidden="1"/>
    </xf>
    <xf numFmtId="0" fontId="7" fillId="6" borderId="42" xfId="0" applyFont="1" applyFill="1" applyBorder="1" applyAlignment="1" applyProtection="1">
      <alignment horizontal="center" vertical="center"/>
      <protection hidden="1"/>
    </xf>
    <xf numFmtId="0" fontId="29" fillId="6" borderId="41" xfId="0" applyFont="1" applyFill="1" applyBorder="1" applyAlignment="1" applyProtection="1">
      <alignment horizontal="center" vertical="center"/>
      <protection hidden="1"/>
    </xf>
    <xf numFmtId="181" fontId="8" fillId="7" borderId="1" xfId="0" applyNumberFormat="1" applyFont="1" applyFill="1" applyBorder="1" applyAlignment="1" applyProtection="1">
      <alignment horizontal="center" vertical="center"/>
      <protection locked="0" hidden="1"/>
    </xf>
    <xf numFmtId="184" fontId="8" fillId="9" borderId="1" xfId="0" applyNumberFormat="1" applyFont="1" applyFill="1" applyBorder="1" applyAlignment="1" applyProtection="1">
      <alignment horizontal="center" vertical="center"/>
      <protection hidden="1"/>
    </xf>
    <xf numFmtId="166" fontId="8" fillId="6" borderId="69" xfId="0" applyNumberFormat="1" applyFont="1" applyFill="1" applyBorder="1" applyAlignment="1" applyProtection="1">
      <alignment horizontal="center" vertical="center"/>
      <protection hidden="1"/>
    </xf>
    <xf numFmtId="166" fontId="8" fillId="9" borderId="5" xfId="0" applyNumberFormat="1" applyFont="1" applyFill="1" applyBorder="1" applyAlignment="1" applyProtection="1">
      <alignment horizontal="center" vertical="center"/>
      <protection hidden="1"/>
    </xf>
    <xf numFmtId="164" fontId="8" fillId="9" borderId="39" xfId="0" applyNumberFormat="1" applyFont="1" applyFill="1" applyBorder="1" applyAlignment="1" applyProtection="1">
      <alignment horizontal="center" vertical="center"/>
      <protection hidden="1"/>
    </xf>
    <xf numFmtId="171" fontId="8" fillId="7" borderId="4" xfId="0" applyNumberFormat="1" applyFont="1" applyFill="1" applyBorder="1" applyAlignment="1" applyProtection="1">
      <alignment horizontal="center" vertical="center"/>
      <protection locked="0" hidden="1"/>
    </xf>
    <xf numFmtId="171" fontId="8" fillId="7" borderId="5" xfId="0" applyNumberFormat="1" applyFont="1" applyFill="1" applyBorder="1" applyAlignment="1" applyProtection="1">
      <alignment horizontal="center" vertical="center"/>
      <protection locked="0" hidden="1"/>
    </xf>
    <xf numFmtId="183" fontId="8" fillId="9" borderId="5" xfId="0" applyNumberFormat="1" applyFont="1" applyFill="1" applyBorder="1" applyAlignment="1" applyProtection="1">
      <alignment horizontal="center" vertical="center"/>
      <protection hidden="1"/>
    </xf>
    <xf numFmtId="182" fontId="8" fillId="9" borderId="8" xfId="0" applyNumberFormat="1" applyFont="1" applyFill="1" applyBorder="1" applyAlignment="1" applyProtection="1">
      <alignment horizontal="center" vertical="center"/>
      <protection hidden="1"/>
    </xf>
    <xf numFmtId="184" fontId="8" fillId="9" borderId="8" xfId="0" applyNumberFormat="1" applyFont="1" applyFill="1" applyBorder="1" applyAlignment="1" applyProtection="1">
      <alignment horizontal="center" vertical="center"/>
      <protection hidden="1"/>
    </xf>
    <xf numFmtId="1" fontId="8" fillId="6" borderId="58" xfId="0" applyNumberFormat="1" applyFont="1" applyFill="1" applyBorder="1" applyAlignment="1" applyProtection="1">
      <alignment horizontal="center" vertical="center"/>
      <protection hidden="1"/>
    </xf>
    <xf numFmtId="1" fontId="8" fillId="6" borderId="51" xfId="0" applyNumberFormat="1" applyFont="1" applyFill="1" applyBorder="1" applyAlignment="1" applyProtection="1">
      <alignment horizontal="center" vertical="center"/>
      <protection hidden="1"/>
    </xf>
    <xf numFmtId="1" fontId="8" fillId="6" borderId="59" xfId="0" applyNumberFormat="1" applyFont="1" applyFill="1" applyBorder="1" applyAlignment="1" applyProtection="1">
      <alignment horizontal="center" vertical="center"/>
      <protection hidden="1"/>
    </xf>
    <xf numFmtId="181" fontId="8" fillId="7" borderId="42" xfId="0" applyNumberFormat="1" applyFont="1" applyFill="1" applyBorder="1" applyAlignment="1" applyProtection="1">
      <alignment horizontal="center" vertical="center"/>
      <protection locked="0" hidden="1"/>
    </xf>
    <xf numFmtId="2" fontId="13" fillId="6" borderId="34" xfId="0" applyNumberFormat="1" applyFont="1" applyFill="1" applyBorder="1" applyAlignment="1" applyProtection="1">
      <alignment horizont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wrapText="1"/>
      <protection hidden="1"/>
    </xf>
    <xf numFmtId="171" fontId="8" fillId="4" borderId="10" xfId="0" applyNumberFormat="1" applyFont="1" applyFill="1" applyBorder="1" applyAlignment="1" applyProtection="1">
      <alignment horizontal="center" vertical="center"/>
      <protection locked="0" hidden="1"/>
    </xf>
    <xf numFmtId="171" fontId="8" fillId="4" borderId="11" xfId="0" applyNumberFormat="1" applyFont="1" applyFill="1" applyBorder="1" applyAlignment="1" applyProtection="1">
      <alignment horizontal="center" vertical="center" wrapText="1"/>
      <protection locked="0" hidden="1"/>
    </xf>
    <xf numFmtId="2" fontId="8" fillId="6" borderId="35" xfId="0" applyNumberFormat="1" applyFont="1" applyFill="1" applyBorder="1" applyAlignment="1" applyProtection="1">
      <alignment horizontal="center" vertical="center" wrapText="1"/>
      <protection hidden="1"/>
    </xf>
    <xf numFmtId="1" fontId="2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horizontal="center" vertical="center"/>
      <protection hidden="1"/>
    </xf>
    <xf numFmtId="0" fontId="39" fillId="6" borderId="4" xfId="0" applyFont="1" applyFill="1" applyBorder="1" applyAlignment="1" applyProtection="1">
      <alignment horizontal="center" vertical="center" wrapText="1"/>
      <protection hidden="1"/>
    </xf>
    <xf numFmtId="0" fontId="40" fillId="6" borderId="5" xfId="0" applyFont="1" applyFill="1" applyBorder="1" applyAlignment="1" applyProtection="1">
      <alignment horizontal="center" vertical="center" wrapText="1"/>
      <protection hidden="1"/>
    </xf>
    <xf numFmtId="0" fontId="39" fillId="6" borderId="7" xfId="0" applyFont="1" applyFill="1" applyBorder="1" applyAlignment="1" applyProtection="1">
      <alignment horizontal="center" vertical="center" wrapText="1"/>
      <protection hidden="1"/>
    </xf>
    <xf numFmtId="0" fontId="39" fillId="6" borderId="8" xfId="0" applyFont="1" applyFill="1" applyBorder="1" applyAlignment="1" applyProtection="1">
      <alignment horizontal="center" vertical="center" wrapText="1"/>
      <protection hidden="1"/>
    </xf>
    <xf numFmtId="0" fontId="23" fillId="6" borderId="35" xfId="0" applyFont="1" applyFill="1" applyBorder="1" applyAlignment="1" applyProtection="1">
      <alignment horizontal="center" vertical="center" wrapText="1"/>
      <protection hidden="1"/>
    </xf>
    <xf numFmtId="0" fontId="28" fillId="6" borderId="1" xfId="0" applyNumberFormat="1" applyFont="1" applyFill="1" applyBorder="1" applyAlignment="1" applyProtection="1">
      <alignment horizontal="center" vertical="center" wrapText="1"/>
      <protection hidden="1"/>
    </xf>
    <xf numFmtId="0" fontId="28" fillId="6" borderId="42" xfId="0" applyNumberFormat="1" applyFont="1" applyFill="1" applyBorder="1" applyAlignment="1" applyProtection="1">
      <alignment horizontal="center" vertical="center" wrapText="1"/>
      <protection hidden="1"/>
    </xf>
    <xf numFmtId="168" fontId="28" fillId="15" borderId="1" xfId="0" applyNumberFormat="1" applyFont="1" applyFill="1" applyBorder="1" applyAlignment="1" applyProtection="1">
      <alignment horizontal="center" vertical="center"/>
      <protection locked="0" hidden="1"/>
    </xf>
    <xf numFmtId="186" fontId="28" fillId="15" borderId="1" xfId="0" applyNumberFormat="1" applyFont="1" applyFill="1" applyBorder="1" applyAlignment="1" applyProtection="1">
      <alignment horizontal="center" vertical="center" wrapText="1"/>
      <protection locked="0" hidden="1"/>
    </xf>
    <xf numFmtId="0" fontId="29" fillId="19" borderId="5" xfId="0" applyFont="1" applyFill="1" applyBorder="1" applyAlignment="1" applyProtection="1">
      <alignment horizontal="center" vertical="center"/>
      <protection hidden="1"/>
    </xf>
    <xf numFmtId="169" fontId="29" fillId="19" borderId="1" xfId="0" applyNumberFormat="1" applyFont="1" applyFill="1" applyBorder="1" applyAlignment="1" applyProtection="1">
      <alignment horizontal="center" vertical="center"/>
      <protection hidden="1"/>
    </xf>
    <xf numFmtId="0" fontId="29" fillId="19" borderId="1" xfId="0" applyFont="1" applyFill="1" applyBorder="1" applyAlignment="1" applyProtection="1">
      <alignment horizontal="center" vertical="center"/>
      <protection hidden="1"/>
    </xf>
    <xf numFmtId="168" fontId="29" fillId="15" borderId="1" xfId="0" applyNumberFormat="1" applyFont="1" applyFill="1" applyBorder="1" applyAlignment="1" applyProtection="1">
      <alignment horizontal="center" vertical="center"/>
      <protection hidden="1"/>
    </xf>
    <xf numFmtId="180" fontId="29" fillId="15" borderId="1" xfId="0" applyNumberFormat="1" applyFont="1" applyFill="1" applyBorder="1" applyAlignment="1" applyProtection="1">
      <alignment horizontal="center" vertical="center"/>
      <protection hidden="1"/>
    </xf>
    <xf numFmtId="0" fontId="29" fillId="15" borderId="1" xfId="4" applyFont="1" applyFill="1" applyBorder="1" applyProtection="1">
      <alignment horizontal="center" vertical="center"/>
      <protection hidden="1"/>
    </xf>
    <xf numFmtId="168" fontId="29" fillId="15" borderId="8" xfId="0" applyNumberFormat="1" applyFont="1" applyFill="1" applyBorder="1" applyAlignment="1" applyProtection="1">
      <alignment horizontal="center" vertical="center"/>
      <protection hidden="1"/>
    </xf>
    <xf numFmtId="168" fontId="29" fillId="15" borderId="5" xfId="0" applyNumberFormat="1" applyFont="1" applyFill="1" applyBorder="1" applyAlignment="1" applyProtection="1">
      <alignment horizontal="center" vertical="center"/>
      <protection hidden="1"/>
    </xf>
    <xf numFmtId="180" fontId="29" fillId="15" borderId="5" xfId="0" applyNumberFormat="1" applyFont="1" applyFill="1" applyBorder="1" applyAlignment="1" applyProtection="1">
      <alignment horizontal="center" vertical="center"/>
      <protection hidden="1"/>
    </xf>
    <xf numFmtId="180" fontId="29" fillId="15" borderId="8" xfId="0" applyNumberFormat="1" applyFont="1" applyFill="1" applyBorder="1" applyAlignment="1" applyProtection="1">
      <alignment horizontal="center" vertical="center"/>
      <protection hidden="1"/>
    </xf>
    <xf numFmtId="190" fontId="8" fillId="9" borderId="1" xfId="0" applyNumberFormat="1" applyFont="1" applyFill="1" applyBorder="1" applyAlignment="1" applyProtection="1">
      <alignment horizontal="center" vertical="center"/>
      <protection hidden="1"/>
    </xf>
    <xf numFmtId="191" fontId="8" fillId="7" borderId="4" xfId="0" applyNumberFormat="1" applyFont="1" applyFill="1" applyBorder="1" applyAlignment="1" applyProtection="1">
      <alignment horizontal="center" vertical="center"/>
      <protection locked="0" hidden="1"/>
    </xf>
    <xf numFmtId="191" fontId="8" fillId="7" borderId="1" xfId="0" applyNumberFormat="1" applyFont="1" applyFill="1" applyBorder="1" applyAlignment="1" applyProtection="1">
      <alignment horizontal="center" vertical="center"/>
      <protection locked="0" hidden="1"/>
    </xf>
    <xf numFmtId="191" fontId="8" fillId="7" borderId="5" xfId="0" applyNumberFormat="1" applyFont="1" applyFill="1" applyBorder="1" applyAlignment="1" applyProtection="1">
      <alignment horizontal="center" vertical="center"/>
      <protection locked="0" hidden="1"/>
    </xf>
    <xf numFmtId="191" fontId="8" fillId="7" borderId="39" xfId="0" applyNumberFormat="1" applyFont="1" applyFill="1" applyBorder="1" applyAlignment="1" applyProtection="1">
      <alignment horizontal="center" vertical="center"/>
      <protection locked="0" hidden="1"/>
    </xf>
    <xf numFmtId="191" fontId="8" fillId="7" borderId="41" xfId="0" applyNumberFormat="1" applyFont="1" applyFill="1" applyBorder="1" applyAlignment="1" applyProtection="1">
      <alignment horizontal="center" vertical="center"/>
      <protection locked="0" hidden="1"/>
    </xf>
    <xf numFmtId="191" fontId="8" fillId="7" borderId="42" xfId="0" applyNumberFormat="1" applyFont="1" applyFill="1" applyBorder="1" applyAlignment="1" applyProtection="1">
      <alignment horizontal="center" vertical="center"/>
      <protection locked="0" hidden="1"/>
    </xf>
    <xf numFmtId="191" fontId="8" fillId="7" borderId="7" xfId="0" applyNumberFormat="1" applyFont="1" applyFill="1" applyBorder="1" applyAlignment="1" applyProtection="1">
      <alignment horizontal="center" vertical="center"/>
      <protection locked="0" hidden="1"/>
    </xf>
    <xf numFmtId="191" fontId="8" fillId="7" borderId="8" xfId="0" applyNumberFormat="1" applyFont="1" applyFill="1" applyBorder="1" applyAlignment="1" applyProtection="1">
      <alignment horizontal="center" vertical="center"/>
      <protection locked="0" hidden="1"/>
    </xf>
    <xf numFmtId="2" fontId="8" fillId="6" borderId="69" xfId="0" applyNumberFormat="1" applyFont="1" applyFill="1" applyBorder="1" applyAlignment="1" applyProtection="1">
      <alignment horizontal="center" vertical="center"/>
      <protection hidden="1"/>
    </xf>
    <xf numFmtId="193" fontId="8" fillId="7" borderId="12" xfId="0" applyNumberFormat="1" applyFont="1" applyFill="1" applyBorder="1" applyAlignment="1" applyProtection="1">
      <alignment horizontal="center" vertical="center"/>
      <protection locked="0" hidden="1"/>
    </xf>
    <xf numFmtId="191" fontId="8" fillId="7" borderId="32" xfId="0" applyNumberFormat="1" applyFont="1" applyFill="1" applyBorder="1" applyAlignment="1" applyProtection="1">
      <alignment horizontal="center" vertical="center"/>
      <protection locked="0" hidden="1"/>
    </xf>
    <xf numFmtId="171" fontId="8" fillId="9" borderId="42" xfId="0" applyNumberFormat="1" applyFont="1" applyFill="1" applyBorder="1" applyAlignment="1" applyProtection="1">
      <alignment horizontal="center" vertical="center"/>
      <protection hidden="1"/>
    </xf>
    <xf numFmtId="171" fontId="8" fillId="9" borderId="3" xfId="0" applyNumberFormat="1" applyFont="1" applyFill="1" applyBorder="1" applyAlignment="1" applyProtection="1">
      <alignment horizontal="center" vertical="center"/>
      <protection hidden="1"/>
    </xf>
    <xf numFmtId="171" fontId="8" fillId="9" borderId="13" xfId="0" applyNumberFormat="1" applyFont="1" applyFill="1" applyBorder="1" applyAlignment="1" applyProtection="1">
      <alignment horizontal="center" vertical="center"/>
      <protection hidden="1"/>
    </xf>
    <xf numFmtId="171" fontId="8" fillId="6" borderId="70" xfId="0" applyNumberFormat="1" applyFont="1" applyFill="1" applyBorder="1" applyAlignment="1" applyProtection="1">
      <alignment horizontal="center" vertical="center"/>
      <protection hidden="1"/>
    </xf>
    <xf numFmtId="171" fontId="8" fillId="6" borderId="71" xfId="0" applyNumberFormat="1" applyFont="1" applyFill="1" applyBorder="1" applyAlignment="1" applyProtection="1">
      <alignment horizontal="center" vertical="center"/>
      <protection hidden="1"/>
    </xf>
    <xf numFmtId="171" fontId="8" fillId="9" borderId="18" xfId="0" applyNumberFormat="1" applyFont="1" applyFill="1" applyBorder="1" applyAlignment="1" applyProtection="1">
      <alignment horizontal="center" vertical="center"/>
      <protection hidden="1"/>
    </xf>
    <xf numFmtId="171" fontId="8" fillId="9" borderId="20" xfId="0" applyNumberFormat="1" applyFont="1" applyFill="1" applyBorder="1" applyAlignment="1" applyProtection="1">
      <alignment horizontal="center" vertical="center"/>
      <protection hidden="1"/>
    </xf>
    <xf numFmtId="171" fontId="8" fillId="9" borderId="44"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wrapText="1"/>
      <protection hidden="1"/>
    </xf>
    <xf numFmtId="192" fontId="8" fillId="7" borderId="41" xfId="0" applyNumberFormat="1" applyFont="1" applyFill="1" applyBorder="1" applyAlignment="1" applyProtection="1">
      <alignment horizontal="center" vertical="center"/>
      <protection locked="0" hidden="1"/>
    </xf>
    <xf numFmtId="2" fontId="8" fillId="6" borderId="58" xfId="0" applyNumberFormat="1" applyFont="1" applyFill="1" applyBorder="1" applyAlignment="1" applyProtection="1">
      <alignment horizontal="center" vertical="center" wrapText="1"/>
      <protection hidden="1"/>
    </xf>
    <xf numFmtId="2" fontId="8" fillId="6" borderId="51" xfId="0" applyNumberFormat="1" applyFont="1" applyFill="1" applyBorder="1" applyAlignment="1" applyProtection="1">
      <alignment horizontal="center" vertical="center" wrapText="1"/>
      <protection hidden="1"/>
    </xf>
    <xf numFmtId="171" fontId="29" fillId="19" borderId="1" xfId="0" applyNumberFormat="1"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protection hidden="1"/>
    </xf>
    <xf numFmtId="186" fontId="8" fillId="2" borderId="0" xfId="0" applyNumberFormat="1" applyFont="1" applyFill="1" applyBorder="1" applyAlignment="1" applyProtection="1">
      <alignment horizontal="center"/>
      <protection hidden="1"/>
    </xf>
    <xf numFmtId="14" fontId="28" fillId="15" borderId="1" xfId="0" applyNumberFormat="1" applyFont="1" applyFill="1" applyBorder="1" applyAlignment="1" applyProtection="1">
      <alignment horizontal="center" vertical="center" wrapText="1"/>
      <protection locked="0" hidden="1"/>
    </xf>
    <xf numFmtId="2" fontId="13" fillId="6" borderId="5" xfId="0" applyNumberFormat="1" applyFont="1" applyFill="1" applyBorder="1" applyAlignment="1" applyProtection="1">
      <alignment horizontal="center" vertical="center"/>
      <protection hidden="1"/>
    </xf>
    <xf numFmtId="3" fontId="28" fillId="20" borderId="4" xfId="0" applyNumberFormat="1" applyFont="1" applyFill="1" applyBorder="1" applyAlignment="1" applyProtection="1">
      <alignment horizontal="center" vertical="center" wrapText="1"/>
      <protection hidden="1"/>
    </xf>
    <xf numFmtId="9" fontId="29" fillId="6" borderId="42" xfId="0" applyNumberFormat="1" applyFont="1" applyFill="1" applyBorder="1" applyAlignment="1" applyProtection="1">
      <alignment horizontal="center" vertical="center"/>
      <protection hidden="1"/>
    </xf>
    <xf numFmtId="11" fontId="8" fillId="0" borderId="0" xfId="0" applyNumberFormat="1" applyFont="1" applyProtection="1">
      <protection hidden="1"/>
    </xf>
    <xf numFmtId="2" fontId="8" fillId="9" borderId="5" xfId="0" applyNumberFormat="1"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2" fontId="8" fillId="9" borderId="67" xfId="0" applyNumberFormat="1" applyFont="1" applyFill="1" applyBorder="1" applyAlignment="1" applyProtection="1">
      <alignment horizontal="center" vertical="center"/>
      <protection hidden="1"/>
    </xf>
    <xf numFmtId="0" fontId="23" fillId="6" borderId="33" xfId="0" applyFont="1" applyFill="1" applyBorder="1" applyAlignment="1" applyProtection="1">
      <alignment horizontal="center" vertical="center" wrapText="1"/>
      <protection hidden="1"/>
    </xf>
    <xf numFmtId="2" fontId="8" fillId="0" borderId="0" xfId="0" applyNumberFormat="1" applyFont="1" applyFill="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166" fontId="29" fillId="19" borderId="5" xfId="0" applyNumberFormat="1" applyFont="1" applyFill="1" applyBorder="1" applyAlignment="1" applyProtection="1">
      <alignment horizontal="center" vertical="center"/>
      <protection hidden="1"/>
    </xf>
    <xf numFmtId="168" fontId="29" fillId="0" borderId="1" xfId="0" applyNumberFormat="1" applyFont="1" applyFill="1" applyBorder="1" applyAlignment="1" applyProtection="1">
      <alignment horizontal="center" vertical="center"/>
      <protection hidden="1"/>
    </xf>
    <xf numFmtId="169" fontId="29" fillId="0" borderId="1" xfId="0" applyNumberFormat="1" applyFont="1" applyFill="1" applyBorder="1" applyAlignment="1" applyProtection="1">
      <alignment horizontal="center" vertical="center"/>
      <protection hidden="1"/>
    </xf>
    <xf numFmtId="164" fontId="29" fillId="19" borderId="1" xfId="0" applyNumberFormat="1" applyFont="1" applyFill="1" applyBorder="1" applyAlignment="1" applyProtection="1">
      <alignment horizontal="center" vertical="center"/>
      <protection hidden="1"/>
    </xf>
    <xf numFmtId="166" fontId="29" fillId="0" borderId="1" xfId="0" applyNumberFormat="1" applyFont="1" applyFill="1" applyBorder="1" applyAlignment="1" applyProtection="1">
      <alignment horizontal="center" vertical="center"/>
      <protection hidden="1"/>
    </xf>
    <xf numFmtId="171" fontId="8" fillId="0" borderId="0" xfId="0" applyNumberFormat="1" applyFont="1" applyProtection="1">
      <protection hidden="1"/>
    </xf>
    <xf numFmtId="2" fontId="17" fillId="6" borderId="43" xfId="0" applyNumberFormat="1" applyFont="1" applyFill="1" applyBorder="1" applyAlignment="1" applyProtection="1">
      <alignment horizontal="center" vertical="center" wrapText="1"/>
      <protection hidden="1"/>
    </xf>
    <xf numFmtId="2" fontId="23" fillId="6" borderId="20" xfId="0" applyNumberFormat="1" applyFont="1" applyFill="1" applyBorder="1" applyAlignment="1" applyProtection="1">
      <alignment horizontal="center" vertical="center" wrapText="1"/>
      <protection hidden="1"/>
    </xf>
    <xf numFmtId="2" fontId="19" fillId="3" borderId="69" xfId="0" applyNumberFormat="1" applyFont="1" applyFill="1" applyBorder="1" applyAlignment="1" applyProtection="1">
      <alignment horizontal="center" vertical="top"/>
      <protection hidden="1"/>
    </xf>
    <xf numFmtId="2" fontId="17" fillId="6" borderId="70" xfId="0" applyNumberFormat="1" applyFont="1" applyFill="1" applyBorder="1" applyAlignment="1" applyProtection="1">
      <alignment horizontal="center" vertical="center"/>
      <protection hidden="1"/>
    </xf>
    <xf numFmtId="2" fontId="17" fillId="6" borderId="70" xfId="0" applyNumberFormat="1" applyFont="1" applyFill="1" applyBorder="1" applyAlignment="1" applyProtection="1">
      <alignment horizontal="left" vertical="center"/>
      <protection hidden="1"/>
    </xf>
    <xf numFmtId="2" fontId="17" fillId="6" borderId="70" xfId="0" applyNumberFormat="1" applyFont="1" applyFill="1" applyBorder="1" applyAlignment="1" applyProtection="1">
      <alignment vertical="center"/>
      <protection hidden="1"/>
    </xf>
    <xf numFmtId="2" fontId="8" fillId="6" borderId="70" xfId="0" applyNumberFormat="1" applyFont="1" applyFill="1" applyBorder="1" applyAlignment="1" applyProtection="1">
      <alignment horizontal="center" vertical="center"/>
      <protection hidden="1"/>
    </xf>
    <xf numFmtId="172" fontId="8" fillId="6" borderId="71" xfId="0" applyNumberFormat="1" applyFont="1" applyFill="1" applyBorder="1" applyProtection="1">
      <protection hidden="1"/>
    </xf>
    <xf numFmtId="173" fontId="8" fillId="9" borderId="65" xfId="0" applyNumberFormat="1" applyFont="1" applyFill="1" applyBorder="1" applyAlignment="1" applyProtection="1">
      <alignment horizontal="center" vertical="center" wrapText="1"/>
      <protection hidden="1"/>
    </xf>
    <xf numFmtId="173" fontId="8" fillId="9" borderId="66" xfId="0" applyNumberFormat="1" applyFont="1" applyFill="1" applyBorder="1" applyAlignment="1" applyProtection="1">
      <alignment horizontal="center" vertical="center"/>
      <protection hidden="1"/>
    </xf>
    <xf numFmtId="11" fontId="8" fillId="9" borderId="66" xfId="0" applyNumberFormat="1" applyFont="1" applyFill="1" applyBorder="1" applyAlignment="1" applyProtection="1">
      <alignment horizontal="center" vertical="center"/>
      <protection hidden="1"/>
    </xf>
    <xf numFmtId="173" fontId="8" fillId="9" borderId="67"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vertical="center"/>
      <protection hidden="1"/>
    </xf>
    <xf numFmtId="2" fontId="9" fillId="6" borderId="23" xfId="2" applyNumberFormat="1" applyFont="1" applyFill="1" applyBorder="1" applyAlignment="1" applyProtection="1">
      <alignment horizontal="center" vertical="center"/>
      <protection hidden="1"/>
    </xf>
    <xf numFmtId="173" fontId="13" fillId="9" borderId="31" xfId="0" applyNumberFormat="1" applyFont="1" applyFill="1" applyBorder="1" applyAlignment="1" applyProtection="1">
      <alignment horizontal="center" vertical="center"/>
      <protection hidden="1"/>
    </xf>
    <xf numFmtId="0" fontId="4" fillId="6" borderId="33" xfId="2" applyFont="1" applyFill="1" applyBorder="1" applyAlignment="1" applyProtection="1">
      <alignment horizontal="center" vertical="center"/>
      <protection hidden="1"/>
    </xf>
    <xf numFmtId="0" fontId="4" fillId="6" borderId="35" xfId="2" applyFont="1" applyFill="1" applyBorder="1" applyAlignment="1" applyProtection="1">
      <alignment horizontal="center" vertical="center"/>
      <protection hidden="1"/>
    </xf>
    <xf numFmtId="2" fontId="9" fillId="6" borderId="33" xfId="2" applyNumberFormat="1" applyFont="1" applyFill="1" applyBorder="1" applyAlignment="1" applyProtection="1">
      <alignment horizontal="center" vertical="center"/>
      <protection hidden="1"/>
    </xf>
    <xf numFmtId="2" fontId="9" fillId="6" borderId="35" xfId="2" applyNumberFormat="1" applyFont="1" applyFill="1" applyBorder="1" applyAlignment="1" applyProtection="1">
      <alignment horizontal="center" vertical="center"/>
      <protection hidden="1"/>
    </xf>
    <xf numFmtId="11" fontId="13" fillId="9" borderId="15" xfId="0" applyNumberFormat="1" applyFont="1" applyFill="1" applyBorder="1" applyAlignment="1" applyProtection="1">
      <alignment horizontal="center" vertical="center"/>
      <protection hidden="1"/>
    </xf>
    <xf numFmtId="1" fontId="10" fillId="9" borderId="66" xfId="0" applyNumberFormat="1" applyFont="1" applyFill="1" applyBorder="1" applyAlignment="1" applyProtection="1">
      <alignment horizontal="center" vertical="center"/>
      <protection hidden="1"/>
    </xf>
    <xf numFmtId="1" fontId="36" fillId="9" borderId="66" xfId="0" applyNumberFormat="1" applyFont="1" applyFill="1" applyBorder="1" applyAlignment="1" applyProtection="1">
      <alignment horizontal="center" vertical="center"/>
      <protection hidden="1"/>
    </xf>
    <xf numFmtId="1" fontId="8" fillId="9" borderId="65" xfId="0" applyNumberFormat="1" applyFont="1" applyFill="1" applyBorder="1" applyAlignment="1" applyProtection="1">
      <alignment horizontal="center" vertical="center"/>
      <protection hidden="1"/>
    </xf>
    <xf numFmtId="1" fontId="8" fillId="9" borderId="66" xfId="0" applyNumberFormat="1" applyFont="1" applyFill="1" applyBorder="1" applyAlignment="1" applyProtection="1">
      <alignment horizontal="center" vertical="center"/>
      <protection hidden="1"/>
    </xf>
    <xf numFmtId="172" fontId="25" fillId="8" borderId="70" xfId="0" applyNumberFormat="1" applyFont="1" applyFill="1" applyBorder="1" applyAlignment="1" applyProtection="1">
      <alignment horizontal="center" vertical="center"/>
      <protection hidden="1"/>
    </xf>
    <xf numFmtId="2" fontId="47" fillId="8" borderId="70" xfId="0" applyNumberFormat="1" applyFont="1" applyFill="1" applyBorder="1" applyAlignment="1" applyProtection="1">
      <alignment horizontal="center" vertical="center"/>
      <protection hidden="1"/>
    </xf>
    <xf numFmtId="2" fontId="47" fillId="3" borderId="71" xfId="0" applyNumberFormat="1" applyFont="1" applyFill="1" applyBorder="1" applyAlignment="1" applyProtection="1">
      <alignment horizontal="center" vertical="center"/>
      <protection hidden="1"/>
    </xf>
    <xf numFmtId="2" fontId="9" fillId="9" borderId="44" xfId="0" applyNumberFormat="1" applyFont="1" applyFill="1" applyBorder="1" applyAlignment="1" applyProtection="1">
      <alignment horizontal="center" vertical="center"/>
      <protection hidden="1"/>
    </xf>
    <xf numFmtId="11" fontId="8" fillId="9" borderId="45" xfId="0" applyNumberFormat="1" applyFont="1" applyFill="1" applyBorder="1" applyAlignment="1" applyProtection="1">
      <alignment horizontal="center" vertical="center" wrapText="1"/>
      <protection hidden="1"/>
    </xf>
    <xf numFmtId="2" fontId="8" fillId="10" borderId="27" xfId="0" applyNumberFormat="1" applyFont="1" applyFill="1" applyBorder="1" applyAlignment="1" applyProtection="1">
      <alignment horizontal="center" vertical="center"/>
      <protection hidden="1"/>
    </xf>
    <xf numFmtId="2" fontId="25" fillId="8" borderId="69" xfId="0" applyNumberFormat="1" applyFont="1" applyFill="1" applyBorder="1" applyAlignment="1" applyProtection="1">
      <alignment horizontal="center" vertical="center"/>
      <protection hidden="1"/>
    </xf>
    <xf numFmtId="2" fontId="25" fillId="8" borderId="70" xfId="0" applyNumberFormat="1" applyFont="1" applyFill="1" applyBorder="1" applyAlignment="1" applyProtection="1">
      <alignment horizontal="center" vertical="center"/>
      <protection hidden="1"/>
    </xf>
    <xf numFmtId="2" fontId="47" fillId="3" borderId="70" xfId="0" applyNumberFormat="1" applyFont="1" applyFill="1" applyBorder="1" applyAlignment="1" applyProtection="1">
      <alignment horizontal="center" vertical="center" wrapText="1"/>
      <protection hidden="1"/>
    </xf>
    <xf numFmtId="171" fontId="8" fillId="9" borderId="6" xfId="0" applyNumberFormat="1" applyFont="1" applyFill="1" applyBorder="1" applyAlignment="1" applyProtection="1">
      <alignment horizontal="center" vertical="center"/>
      <protection hidden="1"/>
    </xf>
    <xf numFmtId="2" fontId="10" fillId="9" borderId="46" xfId="0" applyNumberFormat="1" applyFont="1" applyFill="1" applyBorder="1" applyAlignment="1" applyProtection="1">
      <alignment horizontal="center" vertical="center"/>
      <protection hidden="1"/>
    </xf>
    <xf numFmtId="167" fontId="8" fillId="2" borderId="0" xfId="0" applyNumberFormat="1" applyFont="1" applyFill="1" applyBorder="1" applyProtection="1">
      <protection hidden="1"/>
    </xf>
    <xf numFmtId="0" fontId="0" fillId="0" borderId="0" xfId="0" applyAlignment="1">
      <alignment horizontal="center"/>
    </xf>
    <xf numFmtId="2" fontId="0" fillId="0" borderId="1" xfId="0" applyNumberFormat="1" applyBorder="1" applyAlignment="1">
      <alignment horizontal="center"/>
    </xf>
    <xf numFmtId="0" fontId="0" fillId="0" borderId="41" xfId="0" applyBorder="1" applyAlignment="1">
      <alignment horizontal="center"/>
    </xf>
    <xf numFmtId="2" fontId="0" fillId="0" borderId="8" xfId="0" applyNumberFormat="1" applyBorder="1" applyAlignment="1">
      <alignment horizontal="center"/>
    </xf>
    <xf numFmtId="170" fontId="0" fillId="0" borderId="42" xfId="0" applyNumberFormat="1" applyBorder="1" applyAlignment="1">
      <alignment horizontal="center"/>
    </xf>
    <xf numFmtId="0" fontId="45" fillId="6" borderId="32" xfId="0" applyFont="1" applyFill="1" applyBorder="1" applyAlignment="1" applyProtection="1">
      <alignment horizontal="center" vertical="center" wrapText="1"/>
      <protection hidden="1"/>
    </xf>
    <xf numFmtId="0" fontId="29" fillId="0" borderId="41" xfId="0" applyFont="1" applyFill="1" applyBorder="1" applyAlignment="1" applyProtection="1">
      <alignment horizontal="center" vertical="center" wrapText="1"/>
      <protection hidden="1"/>
    </xf>
    <xf numFmtId="1" fontId="8" fillId="6" borderId="6" xfId="0" applyNumberFormat="1" applyFont="1" applyFill="1" applyBorder="1" applyAlignment="1" applyProtection="1">
      <alignment horizontal="center" vertical="center"/>
      <protection hidden="1"/>
    </xf>
    <xf numFmtId="195" fontId="8" fillId="9" borderId="66" xfId="0" applyNumberFormat="1" applyFont="1" applyFill="1" applyBorder="1" applyAlignment="1" applyProtection="1">
      <alignment horizontal="center" vertical="center"/>
      <protection hidden="1"/>
    </xf>
    <xf numFmtId="1" fontId="9" fillId="9" borderId="73" xfId="0" applyNumberFormat="1" applyFont="1" applyFill="1" applyBorder="1" applyAlignment="1" applyProtection="1">
      <alignment horizontal="center" vertical="center"/>
      <protection hidden="1"/>
    </xf>
    <xf numFmtId="1" fontId="9" fillId="9" borderId="10" xfId="0" applyNumberFormat="1" applyFont="1" applyFill="1" applyBorder="1" applyAlignment="1" applyProtection="1">
      <alignment horizontal="center" vertical="center"/>
      <protection hidden="1"/>
    </xf>
    <xf numFmtId="1" fontId="9" fillId="9" borderId="11" xfId="0" applyNumberFormat="1" applyFont="1" applyFill="1" applyBorder="1" applyAlignment="1" applyProtection="1">
      <alignment horizontal="center" vertical="center"/>
      <protection hidden="1"/>
    </xf>
    <xf numFmtId="1" fontId="13" fillId="6" borderId="64" xfId="0" applyNumberFormat="1" applyFont="1" applyFill="1" applyBorder="1" applyAlignment="1" applyProtection="1">
      <alignment horizontal="center" vertical="center" wrapText="1"/>
      <protection hidden="1"/>
    </xf>
    <xf numFmtId="181" fontId="8" fillId="7" borderId="3" xfId="0" applyNumberFormat="1" applyFont="1" applyFill="1" applyBorder="1" applyAlignment="1" applyProtection="1">
      <alignment horizontal="center" vertical="center"/>
      <protection locked="0" hidden="1"/>
    </xf>
    <xf numFmtId="171" fontId="13" fillId="9" borderId="3" xfId="0" applyNumberFormat="1" applyFont="1" applyFill="1" applyBorder="1" applyAlignment="1" applyProtection="1">
      <alignment horizontal="center" vertical="center"/>
      <protection hidden="1"/>
    </xf>
    <xf numFmtId="171" fontId="13" fillId="9" borderId="13" xfId="0" applyNumberFormat="1" applyFont="1" applyFill="1" applyBorder="1" applyAlignment="1" applyProtection="1">
      <alignment horizontal="center" vertical="center"/>
      <protection hidden="1"/>
    </xf>
    <xf numFmtId="171" fontId="13" fillId="9" borderId="6"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70" xfId="0" applyNumberFormat="1" applyFont="1" applyFill="1" applyBorder="1" applyAlignment="1" applyProtection="1">
      <alignment horizontal="center" vertical="center" wrapText="1"/>
      <protection hidden="1"/>
    </xf>
    <xf numFmtId="2" fontId="13" fillId="6" borderId="71" xfId="0" applyNumberFormat="1" applyFont="1" applyFill="1" applyBorder="1" applyAlignment="1" applyProtection="1">
      <alignment horizontal="center" vertical="center" wrapText="1"/>
      <protection hidden="1"/>
    </xf>
    <xf numFmtId="170" fontId="0" fillId="0" borderId="1" xfId="0" applyNumberFormat="1" applyBorder="1" applyAlignment="1">
      <alignment horizontal="center"/>
    </xf>
    <xf numFmtId="170" fontId="0" fillId="24" borderId="8" xfId="0" applyNumberFormat="1" applyFill="1" applyBorder="1" applyAlignment="1">
      <alignment horizontal="center"/>
    </xf>
    <xf numFmtId="2" fontId="8" fillId="6" borderId="62" xfId="0" applyNumberFormat="1" applyFont="1" applyFill="1" applyBorder="1" applyAlignment="1" applyProtection="1">
      <alignment vertical="center"/>
      <protection hidden="1"/>
    </xf>
    <xf numFmtId="2" fontId="8" fillId="6" borderId="19" xfId="0" applyNumberFormat="1" applyFont="1" applyFill="1" applyBorder="1" applyAlignment="1" applyProtection="1">
      <alignment vertical="center"/>
      <protection hidden="1"/>
    </xf>
    <xf numFmtId="171" fontId="13" fillId="9" borderId="15" xfId="0" applyNumberFormat="1" applyFont="1" applyFill="1" applyBorder="1" applyAlignment="1" applyProtection="1">
      <alignment horizontal="center" vertical="center"/>
      <protection hidden="1"/>
    </xf>
    <xf numFmtId="169" fontId="13" fillId="9" borderId="20" xfId="0" applyNumberFormat="1" applyFont="1" applyFill="1" applyBorder="1" applyAlignment="1" applyProtection="1">
      <alignment horizontal="center" vertical="center"/>
      <protection hidden="1"/>
    </xf>
    <xf numFmtId="164" fontId="13" fillId="9" borderId="8" xfId="0" applyNumberFormat="1" applyFont="1" applyFill="1" applyBorder="1" applyAlignment="1" applyProtection="1">
      <alignment horizontal="center" vertical="center"/>
      <protection hidden="1"/>
    </xf>
    <xf numFmtId="170" fontId="13" fillId="9" borderId="8" xfId="0" applyNumberFormat="1" applyFont="1" applyFill="1" applyBorder="1" applyAlignment="1" applyProtection="1">
      <alignment horizontal="center" vertical="center"/>
      <protection hidden="1"/>
    </xf>
    <xf numFmtId="170" fontId="13" fillId="9" borderId="5" xfId="0" applyNumberFormat="1" applyFont="1" applyFill="1" applyBorder="1" applyAlignment="1" applyProtection="1">
      <alignment horizontal="center" vertical="center"/>
      <protection hidden="1"/>
    </xf>
    <xf numFmtId="170" fontId="8" fillId="9" borderId="5" xfId="0" applyNumberFormat="1" applyFont="1" applyFill="1" applyBorder="1" applyAlignment="1" applyProtection="1">
      <alignment horizontal="center" vertical="center"/>
      <protection hidden="1"/>
    </xf>
    <xf numFmtId="170" fontId="8" fillId="9" borderId="8" xfId="0" applyNumberFormat="1" applyFont="1" applyFill="1" applyBorder="1" applyAlignment="1" applyProtection="1">
      <alignment horizontal="center" vertical="center"/>
      <protection hidden="1"/>
    </xf>
    <xf numFmtId="9" fontId="8" fillId="0" borderId="0" xfId="1" applyFont="1" applyAlignment="1" applyProtection="1">
      <alignment horizontal="center"/>
      <protection hidden="1"/>
    </xf>
    <xf numFmtId="1" fontId="10" fillId="9" borderId="1" xfId="0" applyNumberFormat="1" applyFont="1" applyFill="1" applyBorder="1" applyAlignment="1" applyProtection="1">
      <alignment horizontal="center" vertical="center"/>
      <protection hidden="1"/>
    </xf>
    <xf numFmtId="1" fontId="10" fillId="9" borderId="5" xfId="0" applyNumberFormat="1" applyFont="1" applyFill="1" applyBorder="1" applyAlignment="1" applyProtection="1">
      <alignment horizontal="center" vertical="center"/>
      <protection hidden="1"/>
    </xf>
    <xf numFmtId="1" fontId="10" fillId="9" borderId="8" xfId="0" applyNumberFormat="1" applyFont="1" applyFill="1" applyBorder="1" applyAlignment="1" applyProtection="1">
      <alignment horizontal="center" vertical="center"/>
      <protection hidden="1"/>
    </xf>
    <xf numFmtId="1" fontId="8" fillId="9" borderId="43" xfId="0" applyNumberFormat="1" applyFont="1" applyFill="1" applyBorder="1" applyAlignment="1" applyProtection="1">
      <alignment horizontal="center" vertical="center"/>
      <protection hidden="1"/>
    </xf>
    <xf numFmtId="1" fontId="8" fillId="9" borderId="44"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8" fillId="9" borderId="48" xfId="0" applyFont="1" applyFill="1" applyBorder="1" applyAlignment="1" applyProtection="1">
      <alignment horizontal="center" vertical="center"/>
      <protection hidden="1"/>
    </xf>
    <xf numFmtId="0" fontId="8" fillId="9" borderId="49" xfId="0" applyFont="1" applyFill="1" applyBorder="1" applyAlignment="1" applyProtection="1">
      <alignment horizontal="center" vertical="center"/>
      <protection hidden="1"/>
    </xf>
    <xf numFmtId="0" fontId="8" fillId="9" borderId="50" xfId="0"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6" fillId="6" borderId="10" xfId="0" applyNumberFormat="1" applyFont="1" applyFill="1" applyBorder="1" applyAlignment="1" applyProtection="1">
      <alignment horizontal="center" vertical="center" wrapText="1"/>
      <protection hidden="1"/>
    </xf>
    <xf numFmtId="1" fontId="8" fillId="9" borderId="32" xfId="0" applyNumberFormat="1" applyFont="1" applyFill="1" applyBorder="1" applyAlignment="1" applyProtection="1">
      <alignment horizontal="center" vertical="center"/>
      <protection hidden="1"/>
    </xf>
    <xf numFmtId="166" fontId="8" fillId="9" borderId="57" xfId="0" applyNumberFormat="1" applyFont="1" applyFill="1" applyBorder="1" applyAlignment="1" applyProtection="1">
      <alignment horizontal="center" vertical="center"/>
      <protection hidden="1"/>
    </xf>
    <xf numFmtId="166" fontId="8" fillId="9" borderId="2" xfId="0" applyNumberFormat="1" applyFont="1" applyFill="1" applyBorder="1" applyAlignment="1" applyProtection="1">
      <alignment horizontal="center" vertical="center"/>
      <protection hidden="1"/>
    </xf>
    <xf numFmtId="166" fontId="8" fillId="9" borderId="37" xfId="0" applyNumberFormat="1" applyFont="1" applyFill="1" applyBorder="1" applyAlignment="1" applyProtection="1">
      <alignment horizontal="center" vertical="center"/>
      <protection hidden="1"/>
    </xf>
    <xf numFmtId="164" fontId="8" fillId="9" borderId="69" xfId="0" applyNumberFormat="1" applyFont="1" applyFill="1" applyBorder="1" applyAlignment="1" applyProtection="1">
      <alignment horizontal="center" vertical="center"/>
      <protection hidden="1"/>
    </xf>
    <xf numFmtId="164" fontId="8" fillId="9" borderId="70" xfId="0" applyNumberFormat="1" applyFont="1" applyFill="1" applyBorder="1" applyAlignment="1" applyProtection="1">
      <alignment horizontal="center" vertical="center"/>
      <protection hidden="1"/>
    </xf>
    <xf numFmtId="2" fontId="8" fillId="9" borderId="70" xfId="0" applyNumberFormat="1" applyFont="1" applyFill="1" applyBorder="1" applyAlignment="1" applyProtection="1">
      <alignment horizontal="center" vertical="center"/>
      <protection hidden="1"/>
    </xf>
    <xf numFmtId="2" fontId="8" fillId="9" borderId="71" xfId="0" applyNumberFormat="1" applyFont="1" applyFill="1" applyBorder="1" applyAlignment="1" applyProtection="1">
      <alignment horizontal="center" vertical="center"/>
      <protection hidden="1"/>
    </xf>
    <xf numFmtId="2" fontId="8" fillId="6" borderId="33" xfId="0" applyNumberFormat="1" applyFont="1" applyFill="1" applyBorder="1" applyAlignment="1" applyProtection="1">
      <alignment horizontal="center" vertical="center"/>
      <protection hidden="1"/>
    </xf>
    <xf numFmtId="2" fontId="8" fillId="6" borderId="54" xfId="0" applyNumberFormat="1" applyFont="1" applyFill="1" applyBorder="1" applyAlignment="1" applyProtection="1">
      <alignment horizontal="center" vertical="center"/>
      <protection hidden="1"/>
    </xf>
    <xf numFmtId="2" fontId="8" fillId="2" borderId="0" xfId="0" applyNumberFormat="1" applyFont="1" applyFill="1" applyBorder="1" applyAlignment="1" applyProtection="1">
      <alignment horizontal="center"/>
      <protection hidden="1"/>
    </xf>
    <xf numFmtId="0" fontId="7" fillId="0" borderId="0" xfId="0" applyFont="1"/>
    <xf numFmtId="0" fontId="38" fillId="0" borderId="40" xfId="0" applyFont="1" applyFill="1" applyBorder="1" applyAlignment="1">
      <alignment horizontal="center" vertical="center"/>
    </xf>
    <xf numFmtId="0" fontId="44" fillId="0" borderId="0" xfId="0" applyFont="1" applyFill="1"/>
    <xf numFmtId="0" fontId="7" fillId="0" borderId="0" xfId="0" applyFont="1" applyAlignment="1">
      <alignment vertical="center"/>
    </xf>
    <xf numFmtId="22" fontId="7" fillId="0" borderId="0" xfId="0" applyNumberFormat="1" applyFont="1" applyAlignment="1">
      <alignment vertical="center" wrapText="1"/>
    </xf>
    <xf numFmtId="0" fontId="7" fillId="0" borderId="0" xfId="0" applyFont="1" applyAlignment="1">
      <alignment horizontal="center" vertical="center" wrapText="1"/>
    </xf>
    <xf numFmtId="171" fontId="42" fillId="25" borderId="8" xfId="0" applyNumberFormat="1" applyFont="1" applyFill="1" applyBorder="1" applyAlignment="1">
      <alignment horizontal="center" vertical="center" wrapText="1"/>
    </xf>
    <xf numFmtId="171" fontId="42" fillId="25" borderId="12" xfId="0" applyNumberFormat="1" applyFont="1" applyFill="1" applyBorder="1" applyAlignment="1">
      <alignment horizontal="center" vertical="center" wrapText="1"/>
    </xf>
    <xf numFmtId="2" fontId="7" fillId="6" borderId="16" xfId="0" applyNumberFormat="1" applyFont="1" applyFill="1" applyBorder="1" applyAlignment="1" applyProtection="1">
      <alignment horizontal="center" vertical="center" wrapText="1"/>
      <protection hidden="1"/>
    </xf>
    <xf numFmtId="164" fontId="0" fillId="0" borderId="1" xfId="0" applyNumberFormat="1" applyBorder="1" applyAlignment="1">
      <alignment horizontal="center"/>
    </xf>
    <xf numFmtId="170" fontId="0" fillId="0" borderId="12" xfId="0" applyNumberFormat="1" applyBorder="1" applyAlignment="1">
      <alignment horizontal="center"/>
    </xf>
    <xf numFmtId="170" fontId="0" fillId="24" borderId="35" xfId="0" applyNumberFormat="1" applyFill="1" applyBorder="1" applyAlignment="1">
      <alignment horizontal="center"/>
    </xf>
    <xf numFmtId="0" fontId="30" fillId="0" borderId="0" xfId="0" applyFont="1" applyAlignment="1" applyProtection="1">
      <alignment horizontal="center" vertical="center"/>
      <protection hidden="1"/>
    </xf>
    <xf numFmtId="0" fontId="30" fillId="0" borderId="0" xfId="0" applyFont="1" applyFill="1" applyProtection="1">
      <protection hidden="1"/>
    </xf>
    <xf numFmtId="0" fontId="30" fillId="0" borderId="0" xfId="0" applyFont="1" applyProtection="1">
      <protection hidden="1"/>
    </xf>
    <xf numFmtId="164" fontId="8" fillId="9" borderId="8" xfId="0" applyNumberFormat="1" applyFont="1" applyFill="1" applyBorder="1" applyAlignment="1" applyProtection="1">
      <alignment horizontal="center" vertical="center"/>
      <protection hidden="1"/>
    </xf>
    <xf numFmtId="9" fontId="8" fillId="9" borderId="39" xfId="1" applyFont="1" applyFill="1" applyBorder="1" applyAlignment="1" applyProtection="1">
      <alignment horizontal="center" vertical="center"/>
      <protection hidden="1"/>
    </xf>
    <xf numFmtId="9" fontId="8" fillId="9" borderId="42" xfId="1" applyFont="1" applyFill="1" applyBorder="1" applyAlignment="1" applyProtection="1">
      <alignment horizontal="center" vertical="center"/>
      <protection hidden="1"/>
    </xf>
    <xf numFmtId="9" fontId="8" fillId="9" borderId="12" xfId="1" applyFont="1" applyFill="1" applyBorder="1" applyAlignment="1" applyProtection="1">
      <alignment horizontal="center" vertical="center"/>
      <protection hidden="1"/>
    </xf>
    <xf numFmtId="167" fontId="10" fillId="9" borderId="7" xfId="0" applyNumberFormat="1" applyFont="1" applyFill="1" applyBorder="1" applyAlignment="1" applyProtection="1">
      <alignment horizontal="center" vertical="center"/>
      <protection hidden="1"/>
    </xf>
    <xf numFmtId="167" fontId="10" fillId="9"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9" fontId="8" fillId="9" borderId="35" xfId="1" applyFont="1" applyFill="1" applyBorder="1" applyAlignment="1" applyProtection="1">
      <alignment horizontal="center" vertical="center"/>
      <protection hidden="1"/>
    </xf>
    <xf numFmtId="171" fontId="13" fillId="9" borderId="5" xfId="0" applyNumberFormat="1" applyFont="1" applyFill="1" applyBorder="1" applyAlignment="1" applyProtection="1">
      <alignment horizontal="center" vertical="center"/>
      <protection hidden="1"/>
    </xf>
    <xf numFmtId="164" fontId="13" fillId="9" borderId="5"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wrapText="1"/>
      <protection hidden="1"/>
    </xf>
    <xf numFmtId="164" fontId="9" fillId="9" borderId="5" xfId="0" applyNumberFormat="1" applyFont="1" applyFill="1" applyBorder="1" applyAlignment="1" applyProtection="1">
      <alignment horizontal="center" vertical="center" wrapText="1"/>
      <protection hidden="1"/>
    </xf>
    <xf numFmtId="164" fontId="13" fillId="9" borderId="1" xfId="0" applyNumberFormat="1" applyFont="1" applyFill="1" applyBorder="1" applyAlignment="1" applyProtection="1">
      <alignment horizontal="center" vertical="center"/>
      <protection hidden="1"/>
    </xf>
    <xf numFmtId="1" fontId="9" fillId="9" borderId="1" xfId="0" applyNumberFormat="1" applyFont="1" applyFill="1" applyBorder="1" applyAlignment="1" applyProtection="1">
      <alignment horizontal="center" vertical="center" wrapText="1"/>
      <protection hidden="1"/>
    </xf>
    <xf numFmtId="164" fontId="9" fillId="9" borderId="1" xfId="0" applyNumberFormat="1" applyFont="1" applyFill="1" applyBorder="1" applyAlignment="1" applyProtection="1">
      <alignment horizontal="center" vertical="center" wrapText="1"/>
      <protection hidden="1"/>
    </xf>
    <xf numFmtId="2" fontId="13" fillId="9" borderId="1" xfId="0" applyNumberFormat="1" applyFont="1" applyFill="1" applyBorder="1" applyAlignment="1" applyProtection="1">
      <alignment horizontal="center" vertical="center"/>
      <protection hidden="1"/>
    </xf>
    <xf numFmtId="171" fontId="9" fillId="9" borderId="7" xfId="0" applyNumberFormat="1" applyFont="1" applyFill="1" applyBorder="1" applyAlignment="1" applyProtection="1">
      <alignment horizontal="center" vertical="center" wrapText="1"/>
      <protection hidden="1"/>
    </xf>
    <xf numFmtId="2" fontId="13" fillId="9" borderId="8"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wrapText="1"/>
      <protection hidden="1"/>
    </xf>
    <xf numFmtId="2" fontId="17" fillId="6" borderId="35" xfId="0" applyNumberFormat="1" applyFont="1" applyFill="1" applyBorder="1" applyAlignment="1" applyProtection="1">
      <alignment horizontal="center" vertical="center"/>
      <protection hidden="1"/>
    </xf>
    <xf numFmtId="171" fontId="17" fillId="6" borderId="16" xfId="0" applyNumberFormat="1" applyFont="1" applyFill="1" applyBorder="1" applyAlignment="1" applyProtection="1">
      <alignment horizontal="center" vertical="center"/>
      <protection hidden="1"/>
    </xf>
    <xf numFmtId="2" fontId="17" fillId="6" borderId="51" xfId="0" applyNumberFormat="1" applyFont="1" applyFill="1" applyBorder="1" applyAlignment="1" applyProtection="1">
      <alignment horizontal="center" vertical="center"/>
      <protection hidden="1"/>
    </xf>
    <xf numFmtId="2" fontId="17" fillId="6" borderId="54" xfId="0" applyNumberFormat="1" applyFont="1" applyFill="1" applyBorder="1" applyAlignment="1" applyProtection="1">
      <alignment horizontal="center" vertical="center" wrapText="1"/>
      <protection hidden="1"/>
    </xf>
    <xf numFmtId="2" fontId="17" fillId="6" borderId="26" xfId="0" applyNumberFormat="1" applyFont="1" applyFill="1" applyBorder="1" applyAlignment="1" applyProtection="1">
      <alignment vertical="center"/>
      <protection hidden="1"/>
    </xf>
    <xf numFmtId="2" fontId="8" fillId="6" borderId="26" xfId="0" applyNumberFormat="1" applyFont="1" applyFill="1" applyBorder="1" applyProtection="1">
      <protection hidden="1"/>
    </xf>
    <xf numFmtId="2" fontId="8" fillId="6" borderId="30" xfId="0" applyNumberFormat="1" applyFont="1" applyFill="1" applyBorder="1" applyAlignment="1" applyProtection="1">
      <alignment horizontal="centerContinuous"/>
      <protection hidden="1"/>
    </xf>
    <xf numFmtId="170" fontId="8" fillId="9" borderId="1"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wrapText="1"/>
      <protection hidden="1"/>
    </xf>
    <xf numFmtId="170" fontId="8" fillId="9" borderId="1" xfId="0" applyNumberFormat="1" applyFont="1" applyFill="1" applyBorder="1" applyAlignment="1" applyProtection="1">
      <alignment horizontal="center" vertical="center" wrapText="1"/>
      <protection hidden="1"/>
    </xf>
    <xf numFmtId="1" fontId="8" fillId="9" borderId="1" xfId="1" applyNumberFormat="1" applyFont="1" applyFill="1" applyBorder="1" applyAlignment="1" applyProtection="1">
      <alignment horizontal="center" vertical="center" wrapText="1"/>
      <protection hidden="1"/>
    </xf>
    <xf numFmtId="1" fontId="8" fillId="9" borderId="2" xfId="1" applyNumberFormat="1" applyFont="1" applyFill="1" applyBorder="1" applyAlignment="1" applyProtection="1">
      <alignment horizontal="center" vertical="center" wrapText="1"/>
      <protection hidden="1"/>
    </xf>
    <xf numFmtId="170" fontId="8" fillId="9" borderId="70"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wrapText="1"/>
      <protection hidden="1"/>
    </xf>
    <xf numFmtId="170" fontId="8" fillId="9" borderId="8" xfId="0" applyNumberFormat="1" applyFont="1" applyFill="1" applyBorder="1" applyAlignment="1" applyProtection="1">
      <alignment horizontal="center" vertical="center" wrapText="1"/>
      <protection hidden="1"/>
    </xf>
    <xf numFmtId="1" fontId="8" fillId="9" borderId="8" xfId="0" applyNumberFormat="1" applyFont="1" applyFill="1" applyBorder="1" applyAlignment="1" applyProtection="1">
      <alignment horizontal="center" vertical="center"/>
      <protection hidden="1"/>
    </xf>
    <xf numFmtId="1" fontId="8" fillId="9" borderId="8" xfId="1" applyNumberFormat="1" applyFont="1" applyFill="1" applyBorder="1" applyAlignment="1" applyProtection="1">
      <alignment horizontal="center" vertical="center" wrapText="1"/>
      <protection hidden="1"/>
    </xf>
    <xf numFmtId="1" fontId="8" fillId="9" borderId="37" xfId="1" applyNumberFormat="1" applyFont="1" applyFill="1" applyBorder="1" applyAlignment="1" applyProtection="1">
      <alignment horizontal="center" vertical="center" wrapText="1"/>
      <protection hidden="1"/>
    </xf>
    <xf numFmtId="170" fontId="8" fillId="9" borderId="71"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wrapText="1"/>
      <protection hidden="1"/>
    </xf>
    <xf numFmtId="170" fontId="8" fillId="9" borderId="5" xfId="0" applyNumberFormat="1" applyFont="1" applyFill="1" applyBorder="1" applyAlignment="1" applyProtection="1">
      <alignment horizontal="center" vertical="center" wrapText="1"/>
      <protection hidden="1"/>
    </xf>
    <xf numFmtId="1" fontId="8" fillId="9" borderId="5" xfId="1" applyNumberFormat="1" applyFont="1" applyFill="1" applyBorder="1" applyAlignment="1" applyProtection="1">
      <alignment horizontal="center" vertical="center" wrapText="1"/>
      <protection hidden="1"/>
    </xf>
    <xf numFmtId="1" fontId="8" fillId="9" borderId="57" xfId="1" applyNumberFormat="1" applyFont="1" applyFill="1" applyBorder="1" applyAlignment="1" applyProtection="1">
      <alignment horizontal="center" vertical="center" wrapText="1"/>
      <protection hidden="1"/>
    </xf>
    <xf numFmtId="170" fontId="8" fillId="9" borderId="69" xfId="0" applyNumberFormat="1" applyFont="1" applyFill="1" applyBorder="1" applyAlignment="1" applyProtection="1">
      <alignment horizontal="center" vertical="center"/>
      <protection hidden="1"/>
    </xf>
    <xf numFmtId="2" fontId="42" fillId="9" borderId="9" xfId="0" applyNumberFormat="1" applyFont="1" applyFill="1" applyBorder="1" applyAlignment="1" applyProtection="1">
      <alignment horizontal="center" vertical="center"/>
      <protection hidden="1"/>
    </xf>
    <xf numFmtId="170" fontId="13" fillId="9" borderId="10" xfId="0" applyNumberFormat="1" applyFont="1" applyFill="1" applyBorder="1" applyAlignment="1" applyProtection="1">
      <alignment horizontal="center" vertical="center"/>
      <protection hidden="1"/>
    </xf>
    <xf numFmtId="170" fontId="13" fillId="9" borderId="11" xfId="0" applyNumberFormat="1" applyFont="1" applyFill="1" applyBorder="1" applyAlignment="1" applyProtection="1">
      <alignment horizontal="center" vertical="center"/>
      <protection hidden="1"/>
    </xf>
    <xf numFmtId="2" fontId="17" fillId="6" borderId="35" xfId="0" applyNumberFormat="1" applyFont="1" applyFill="1" applyBorder="1" applyAlignment="1" applyProtection="1">
      <alignment horizontal="center" vertical="center" wrapText="1"/>
      <protection hidden="1"/>
    </xf>
    <xf numFmtId="180" fontId="0" fillId="0" borderId="41" xfId="0" applyNumberFormat="1" applyBorder="1" applyAlignment="1">
      <alignment horizontal="center"/>
    </xf>
    <xf numFmtId="180" fontId="0" fillId="0" borderId="7" xfId="0" applyNumberFormat="1" applyBorder="1" applyAlignment="1">
      <alignment horizontal="center"/>
    </xf>
    <xf numFmtId="0" fontId="26" fillId="0" borderId="35" xfId="0" applyFont="1" applyFill="1" applyBorder="1" applyAlignment="1">
      <alignment horizontal="center" vertical="center"/>
    </xf>
    <xf numFmtId="0" fontId="42" fillId="0" borderId="49" xfId="0" applyFont="1" applyBorder="1" applyAlignment="1">
      <alignment horizontal="center" vertical="center"/>
    </xf>
    <xf numFmtId="0" fontId="42" fillId="0" borderId="9" xfId="0" applyFont="1" applyBorder="1" applyAlignment="1">
      <alignment horizontal="center" vertical="center"/>
    </xf>
    <xf numFmtId="0" fontId="42" fillId="24" borderId="69" xfId="0" applyFont="1" applyFill="1" applyBorder="1" applyAlignment="1">
      <alignment horizontal="center" vertical="center" wrapText="1"/>
    </xf>
    <xf numFmtId="0" fontId="42" fillId="24" borderId="71" xfId="0" applyFont="1" applyFill="1" applyBorder="1" applyAlignment="1">
      <alignment horizontal="center" vertical="center" wrapText="1"/>
    </xf>
    <xf numFmtId="171" fontId="42" fillId="7" borderId="64" xfId="0" applyNumberFormat="1" applyFont="1" applyFill="1" applyBorder="1" applyAlignment="1" applyProtection="1">
      <alignment horizontal="center" vertical="center" wrapText="1"/>
      <protection locked="0"/>
    </xf>
    <xf numFmtId="171" fontId="42" fillId="7" borderId="5" xfId="0" applyNumberFormat="1" applyFont="1" applyFill="1" applyBorder="1" applyAlignment="1" applyProtection="1">
      <alignment horizontal="center" vertical="center" wrapText="1"/>
      <protection locked="0"/>
    </xf>
    <xf numFmtId="171" fontId="42" fillId="7" borderId="39" xfId="0" applyNumberFormat="1" applyFont="1" applyFill="1" applyBorder="1" applyAlignment="1" applyProtection="1">
      <alignment horizontal="center" vertical="center" wrapText="1"/>
      <protection locked="0"/>
    </xf>
    <xf numFmtId="0" fontId="26" fillId="0" borderId="40" xfId="0" applyFont="1" applyFill="1" applyBorder="1" applyAlignment="1">
      <alignment horizontal="center" vertical="center"/>
    </xf>
    <xf numFmtId="2" fontId="14" fillId="0" borderId="0" xfId="0" applyNumberFormat="1" applyFont="1" applyFill="1" applyBorder="1" applyProtection="1">
      <protection hidden="1"/>
    </xf>
    <xf numFmtId="0" fontId="39" fillId="6" borderId="57" xfId="0" applyFont="1" applyFill="1" applyBorder="1" applyAlignment="1" applyProtection="1">
      <alignment horizontal="center" vertical="center" wrapText="1"/>
      <protection hidden="1"/>
    </xf>
    <xf numFmtId="0" fontId="39" fillId="6" borderId="37" xfId="0" applyFont="1" applyFill="1" applyBorder="1" applyAlignment="1" applyProtection="1">
      <alignment horizontal="center" vertical="center" wrapText="1"/>
      <protection hidden="1"/>
    </xf>
    <xf numFmtId="2" fontId="14" fillId="0" borderId="0" xfId="0" applyNumberFormat="1" applyFont="1" applyBorder="1" applyProtection="1">
      <protection hidden="1"/>
    </xf>
    <xf numFmtId="0" fontId="14" fillId="0" borderId="0" xfId="0" applyFont="1" applyBorder="1" applyProtection="1">
      <protection hidden="1"/>
    </xf>
    <xf numFmtId="2" fontId="14" fillId="0" borderId="0" xfId="0" applyNumberFormat="1" applyFont="1" applyBorder="1" applyAlignment="1" applyProtection="1">
      <alignment vertical="center"/>
      <protection hidden="1"/>
    </xf>
    <xf numFmtId="2" fontId="55" fillId="2" borderId="0" xfId="0" applyNumberFormat="1" applyFont="1" applyFill="1" applyBorder="1" applyAlignment="1" applyProtection="1">
      <alignment horizontal="center" vertical="center"/>
      <protection hidden="1"/>
    </xf>
    <xf numFmtId="1" fontId="55" fillId="2" borderId="0" xfId="0" applyNumberFormat="1" applyFont="1" applyFill="1" applyBorder="1" applyAlignment="1" applyProtection="1">
      <alignment horizontal="center" vertical="center"/>
      <protection hidden="1"/>
    </xf>
    <xf numFmtId="1" fontId="56" fillId="19" borderId="0" xfId="0" applyNumberFormat="1" applyFont="1" applyFill="1" applyBorder="1" applyAlignment="1" applyProtection="1">
      <alignment horizontal="center" vertical="center"/>
      <protection hidden="1"/>
    </xf>
    <xf numFmtId="2" fontId="56" fillId="19" borderId="0" xfId="0" applyNumberFormat="1" applyFont="1" applyFill="1" applyBorder="1" applyAlignment="1" applyProtection="1">
      <alignment horizontal="center" vertical="center"/>
      <protection hidden="1"/>
    </xf>
    <xf numFmtId="2" fontId="56" fillId="2" borderId="0" xfId="0" applyNumberFormat="1" applyFont="1" applyFill="1" applyBorder="1" applyAlignment="1" applyProtection="1">
      <alignment horizontal="center" vertical="center"/>
      <protection hidden="1"/>
    </xf>
    <xf numFmtId="171" fontId="55" fillId="2" borderId="0" xfId="0" applyNumberFormat="1" applyFont="1" applyFill="1" applyBorder="1" applyAlignment="1" applyProtection="1">
      <alignment horizontal="center" vertical="center"/>
      <protection hidden="1"/>
    </xf>
    <xf numFmtId="169" fontId="55" fillId="2" borderId="0" xfId="0" applyNumberFormat="1" applyFont="1" applyFill="1" applyBorder="1" applyAlignment="1" applyProtection="1">
      <alignment horizontal="center" vertical="center"/>
      <protection hidden="1"/>
    </xf>
    <xf numFmtId="1" fontId="58" fillId="19" borderId="0" xfId="0" applyNumberFormat="1" applyFont="1" applyFill="1" applyBorder="1" applyAlignment="1" applyProtection="1">
      <alignment horizontal="center" vertical="center"/>
      <protection hidden="1"/>
    </xf>
    <xf numFmtId="2" fontId="56" fillId="0" borderId="0" xfId="0" applyNumberFormat="1" applyFont="1" applyBorder="1" applyAlignment="1" applyProtection="1">
      <alignment vertical="center"/>
      <protection hidden="1"/>
    </xf>
    <xf numFmtId="2" fontId="55" fillId="0" borderId="0" xfId="0" applyNumberFormat="1" applyFont="1" applyBorder="1" applyAlignment="1" applyProtection="1">
      <alignment horizontal="center" vertical="center"/>
      <protection hidden="1"/>
    </xf>
    <xf numFmtId="164" fontId="9" fillId="9" borderId="8" xfId="0" applyNumberFormat="1" applyFont="1" applyFill="1" applyBorder="1" applyAlignment="1" applyProtection="1">
      <alignment horizontal="center" vertical="center" wrapText="1"/>
      <protection hidden="1"/>
    </xf>
    <xf numFmtId="0" fontId="5" fillId="0" borderId="5" xfId="0" applyFont="1" applyBorder="1" applyAlignment="1">
      <alignment horizontal="center"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3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7" xfId="0" applyFont="1" applyBorder="1" applyAlignment="1">
      <alignment horizontal="center" vertical="center" wrapText="1"/>
    </xf>
    <xf numFmtId="2" fontId="5" fillId="24" borderId="10" xfId="0" applyNumberFormat="1" applyFont="1" applyFill="1" applyBorder="1" applyAlignment="1" applyProtection="1">
      <alignment horizontal="center" vertical="center" wrapText="1"/>
      <protection hidden="1"/>
    </xf>
    <xf numFmtId="2" fontId="5" fillId="24" borderId="11" xfId="0" applyNumberFormat="1" applyFont="1" applyFill="1" applyBorder="1" applyAlignment="1" applyProtection="1">
      <alignment horizontal="center" vertical="center" wrapText="1"/>
      <protection hidden="1"/>
    </xf>
    <xf numFmtId="2" fontId="6" fillId="2" borderId="20" xfId="0" applyNumberFormat="1" applyFont="1" applyFill="1" applyBorder="1" applyAlignment="1" applyProtection="1">
      <alignment horizontal="center" vertical="center" wrapText="1"/>
      <protection hidden="1"/>
    </xf>
    <xf numFmtId="0" fontId="0" fillId="0" borderId="5" xfId="0" applyBorder="1" applyAlignment="1">
      <alignment horizontal="center" vertical="center"/>
    </xf>
    <xf numFmtId="9" fontId="0" fillId="0" borderId="5" xfId="1" applyFont="1" applyBorder="1" applyAlignment="1">
      <alignment horizontal="center" vertical="center"/>
    </xf>
    <xf numFmtId="194" fontId="6" fillId="2" borderId="8" xfId="0" applyNumberFormat="1" applyFont="1" applyFill="1" applyBorder="1" applyAlignment="1" applyProtection="1">
      <alignment horizontal="center" vertical="center" wrapText="1"/>
      <protection hidden="1"/>
    </xf>
    <xf numFmtId="0" fontId="0" fillId="0" borderId="1" xfId="0" applyBorder="1" applyAlignment="1">
      <alignment horizontal="center" vertical="center"/>
    </xf>
    <xf numFmtId="0" fontId="0" fillId="0" borderId="8" xfId="0" applyBorder="1" applyAlignment="1">
      <alignment horizontal="center" vertical="center"/>
    </xf>
    <xf numFmtId="0" fontId="28" fillId="15" borderId="1" xfId="0" applyFont="1" applyFill="1" applyBorder="1" applyAlignment="1" applyProtection="1">
      <alignment horizontal="center" vertical="center"/>
      <protection locked="0" hidden="1"/>
    </xf>
    <xf numFmtId="0" fontId="28" fillId="15" borderId="1" xfId="0" applyFont="1" applyFill="1" applyBorder="1" applyAlignment="1" applyProtection="1">
      <alignment horizontal="center" vertical="center" wrapText="1"/>
      <protection locked="0" hidden="1"/>
    </xf>
    <xf numFmtId="165" fontId="29" fillId="19" borderId="1" xfId="0" applyNumberFormat="1" applyFont="1" applyFill="1" applyBorder="1" applyAlignment="1" applyProtection="1">
      <alignment horizontal="center" vertical="center"/>
      <protection hidden="1"/>
    </xf>
    <xf numFmtId="179" fontId="29" fillId="19" borderId="1" xfId="0" applyNumberFormat="1" applyFont="1" applyFill="1" applyBorder="1" applyAlignment="1" applyProtection="1">
      <alignment horizontal="center" vertical="center"/>
      <protection hidden="1"/>
    </xf>
    <xf numFmtId="169" fontId="10" fillId="9" borderId="4" xfId="0" applyNumberFormat="1" applyFont="1" applyFill="1" applyBorder="1" applyAlignment="1" applyProtection="1">
      <alignment horizontal="center" vertical="center"/>
      <protection hidden="1"/>
    </xf>
    <xf numFmtId="2" fontId="13" fillId="9" borderId="10" xfId="0" applyNumberFormat="1" applyFont="1" applyFill="1" applyBorder="1" applyAlignment="1" applyProtection="1">
      <alignment horizontal="center" vertical="center"/>
      <protection hidden="1"/>
    </xf>
    <xf numFmtId="1" fontId="8" fillId="9" borderId="57" xfId="0" applyNumberFormat="1" applyFont="1" applyFill="1" applyBorder="1" applyAlignment="1" applyProtection="1">
      <alignment horizontal="center" vertical="center"/>
      <protection hidden="1"/>
    </xf>
    <xf numFmtId="1" fontId="8" fillId="9" borderId="2" xfId="0" applyNumberFormat="1" applyFont="1" applyFill="1" applyBorder="1" applyAlignment="1" applyProtection="1">
      <alignment horizontal="center" vertical="center"/>
      <protection hidden="1"/>
    </xf>
    <xf numFmtId="1" fontId="8" fillId="9" borderId="25" xfId="0" applyNumberFormat="1" applyFont="1" applyFill="1" applyBorder="1" applyAlignment="1" applyProtection="1">
      <alignment horizontal="center" vertical="center"/>
      <protection hidden="1"/>
    </xf>
    <xf numFmtId="2" fontId="13" fillId="9" borderId="47" xfId="0" applyNumberFormat="1" applyFont="1" applyFill="1" applyBorder="1" applyAlignment="1" applyProtection="1">
      <alignment horizontal="center" vertical="center"/>
      <protection hidden="1"/>
    </xf>
    <xf numFmtId="170" fontId="13" fillId="9" borderId="1" xfId="0" applyNumberFormat="1" applyFont="1" applyFill="1" applyBorder="1" applyAlignment="1" applyProtection="1">
      <alignment horizontal="center" vertical="center"/>
      <protection hidden="1"/>
    </xf>
    <xf numFmtId="171" fontId="9" fillId="9" borderId="4" xfId="0" applyNumberFormat="1" applyFont="1" applyFill="1" applyBorder="1" applyAlignment="1" applyProtection="1">
      <alignment horizontal="center" vertical="center" wrapText="1"/>
      <protection hidden="1"/>
    </xf>
    <xf numFmtId="171" fontId="9" fillId="9" borderId="41" xfId="0" applyNumberFormat="1" applyFont="1" applyFill="1" applyBorder="1" applyAlignment="1" applyProtection="1">
      <alignment horizontal="center" vertical="center" wrapText="1"/>
      <protection hidden="1"/>
    </xf>
    <xf numFmtId="11" fontId="62" fillId="0" borderId="0" xfId="0" applyNumberFormat="1" applyFont="1"/>
    <xf numFmtId="0" fontId="62" fillId="0" borderId="0" xfId="0" applyFont="1"/>
    <xf numFmtId="2" fontId="16" fillId="6" borderId="47" xfId="2" applyNumberFormat="1" applyFont="1" applyFill="1" applyBorder="1" applyAlignment="1" applyProtection="1">
      <alignment horizontal="center" vertical="center" wrapText="1"/>
      <protection hidden="1"/>
    </xf>
    <xf numFmtId="180" fontId="13" fillId="13" borderId="33" xfId="3" applyNumberFormat="1" applyFont="1" applyBorder="1" applyAlignment="1" applyProtection="1">
      <alignment horizontal="center" vertical="center"/>
      <protection locked="0" hidden="1"/>
    </xf>
    <xf numFmtId="180" fontId="13" fillId="13" borderId="22" xfId="3" applyNumberFormat="1" applyFont="1" applyBorder="1" applyAlignment="1" applyProtection="1">
      <alignment horizontal="center" vertical="center"/>
      <protection locked="0" hidden="1"/>
    </xf>
    <xf numFmtId="0" fontId="28" fillId="0" borderId="5" xfId="0"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protection hidden="1"/>
    </xf>
    <xf numFmtId="180" fontId="8" fillId="26" borderId="41" xfId="3" applyNumberFormat="1" applyFont="1" applyFill="1" applyBorder="1" applyAlignment="1" applyProtection="1">
      <alignment horizontal="center" vertical="center"/>
      <protection locked="0" hidden="1"/>
    </xf>
    <xf numFmtId="180" fontId="8" fillId="26" borderId="7" xfId="3" applyNumberFormat="1" applyFont="1" applyFill="1" applyBorder="1" applyAlignment="1" applyProtection="1">
      <alignment horizontal="center" vertical="center"/>
      <protection locked="0" hidden="1"/>
    </xf>
    <xf numFmtId="164" fontId="29" fillId="19" borderId="5" xfId="0" applyNumberFormat="1" applyFont="1" applyFill="1" applyBorder="1" applyAlignment="1" applyProtection="1">
      <alignment horizontal="center" vertical="center"/>
      <protection hidden="1"/>
    </xf>
    <xf numFmtId="1" fontId="29" fillId="19" borderId="8" xfId="0" applyNumberFormat="1" applyFont="1" applyFill="1" applyBorder="1" applyAlignment="1" applyProtection="1">
      <alignment horizontal="center" vertical="center"/>
      <protection hidden="1"/>
    </xf>
    <xf numFmtId="1" fontId="29" fillId="15" borderId="8" xfId="0" applyNumberFormat="1" applyFont="1" applyFill="1" applyBorder="1" applyAlignment="1" applyProtection="1">
      <alignment horizontal="center" vertical="center"/>
      <protection hidden="1"/>
    </xf>
    <xf numFmtId="0" fontId="29" fillId="27" borderId="4" xfId="0" applyFont="1" applyFill="1" applyBorder="1" applyAlignment="1" applyProtection="1">
      <alignment horizontal="center" vertical="center" wrapText="1"/>
      <protection hidden="1"/>
    </xf>
    <xf numFmtId="0" fontId="29" fillId="27" borderId="5" xfId="0" applyFont="1" applyFill="1" applyBorder="1" applyAlignment="1" applyProtection="1">
      <alignment horizontal="center" vertical="center"/>
      <protection hidden="1"/>
    </xf>
    <xf numFmtId="168" fontId="29" fillId="27" borderId="5" xfId="0" applyNumberFormat="1" applyFont="1" applyFill="1" applyBorder="1" applyAlignment="1" applyProtection="1">
      <alignment horizontal="center" vertical="center"/>
      <protection hidden="1"/>
    </xf>
    <xf numFmtId="180" fontId="29" fillId="27" borderId="5" xfId="0" applyNumberFormat="1" applyFont="1" applyFill="1" applyBorder="1" applyAlignment="1" applyProtection="1">
      <alignment horizontal="center" vertical="center"/>
      <protection hidden="1"/>
    </xf>
    <xf numFmtId="164" fontId="29" fillId="27" borderId="5" xfId="0" applyNumberFormat="1" applyFont="1" applyFill="1" applyBorder="1" applyAlignment="1" applyProtection="1">
      <alignment horizontal="center" vertical="center"/>
      <protection hidden="1"/>
    </xf>
    <xf numFmtId="169" fontId="29" fillId="27" borderId="5" xfId="0" applyNumberFormat="1" applyFont="1" applyFill="1" applyBorder="1" applyAlignment="1" applyProtection="1">
      <alignment horizontal="center" vertical="center"/>
      <protection hidden="1"/>
    </xf>
    <xf numFmtId="0" fontId="29" fillId="27" borderId="7" xfId="0" applyFont="1" applyFill="1" applyBorder="1" applyAlignment="1" applyProtection="1">
      <alignment horizontal="center" vertical="center" wrapText="1"/>
      <protection hidden="1"/>
    </xf>
    <xf numFmtId="0" fontId="29" fillId="27" borderId="8" xfId="0" applyFont="1" applyFill="1" applyBorder="1" applyAlignment="1" applyProtection="1">
      <alignment horizontal="center" vertical="center"/>
      <protection hidden="1"/>
    </xf>
    <xf numFmtId="168" fontId="29" fillId="27" borderId="8" xfId="0" applyNumberFormat="1" applyFont="1" applyFill="1" applyBorder="1" applyAlignment="1" applyProtection="1">
      <alignment horizontal="center" vertical="center"/>
      <protection hidden="1"/>
    </xf>
    <xf numFmtId="180" fontId="29" fillId="27" borderId="8" xfId="0" applyNumberFormat="1" applyFont="1" applyFill="1" applyBorder="1" applyAlignment="1" applyProtection="1">
      <alignment horizontal="center" vertical="center"/>
      <protection hidden="1"/>
    </xf>
    <xf numFmtId="164" fontId="29" fillId="27" borderId="8" xfId="0" applyNumberFormat="1" applyFont="1" applyFill="1" applyBorder="1" applyAlignment="1" applyProtection="1">
      <alignment horizontal="center" vertical="center"/>
      <protection hidden="1"/>
    </xf>
    <xf numFmtId="169" fontId="29" fillId="27" borderId="8" xfId="0"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protection hidden="1"/>
    </xf>
    <xf numFmtId="0" fontId="29" fillId="15" borderId="42" xfId="0" applyFont="1" applyFill="1" applyBorder="1" applyAlignment="1" applyProtection="1">
      <alignment horizontal="center" vertical="center"/>
      <protection hidden="1"/>
    </xf>
    <xf numFmtId="0" fontId="29" fillId="15" borderId="12" xfId="0" applyFont="1" applyFill="1" applyBorder="1" applyAlignment="1" applyProtection="1">
      <alignment horizontal="center" vertical="center"/>
      <protection hidden="1"/>
    </xf>
    <xf numFmtId="0" fontId="30" fillId="0" borderId="23" xfId="0" applyFont="1" applyBorder="1" applyAlignment="1" applyProtection="1">
      <alignment horizontal="center" vertical="center"/>
      <protection hidden="1"/>
    </xf>
    <xf numFmtId="0" fontId="30" fillId="0" borderId="68" xfId="0" applyFont="1" applyBorder="1" applyAlignment="1" applyProtection="1">
      <alignment horizontal="center" vertical="center"/>
      <protection hidden="1"/>
    </xf>
    <xf numFmtId="0" fontId="30" fillId="0" borderId="66" xfId="0" applyFont="1" applyBorder="1" applyAlignment="1" applyProtection="1">
      <alignment horizontal="center" vertical="center"/>
      <protection hidden="1"/>
    </xf>
    <xf numFmtId="0" fontId="30" fillId="0" borderId="77" xfId="0" applyFont="1" applyBorder="1" applyAlignment="1" applyProtection="1">
      <alignment horizontal="center" vertical="center"/>
      <protection hidden="1"/>
    </xf>
    <xf numFmtId="0" fontId="30" fillId="27" borderId="68" xfId="0" applyFont="1" applyFill="1" applyBorder="1" applyAlignment="1" applyProtection="1">
      <alignment horizontal="center" vertical="center"/>
      <protection hidden="1"/>
    </xf>
    <xf numFmtId="0" fontId="30" fillId="27" borderId="67" xfId="0" applyFont="1" applyFill="1" applyBorder="1" applyAlignment="1" applyProtection="1">
      <alignment horizontal="center" vertical="center"/>
      <protection hidden="1"/>
    </xf>
    <xf numFmtId="166" fontId="29" fillId="19" borderId="1" xfId="0" applyNumberFormat="1" applyFont="1" applyFill="1" applyBorder="1" applyAlignment="1" applyProtection="1">
      <alignment horizontal="center" vertical="center"/>
      <protection hidden="1"/>
    </xf>
    <xf numFmtId="11" fontId="29" fillId="0" borderId="1" xfId="0" applyNumberFormat="1" applyFont="1" applyFill="1" applyBorder="1" applyAlignment="1" applyProtection="1">
      <alignment horizontal="center" vertical="center"/>
      <protection hidden="1"/>
    </xf>
    <xf numFmtId="0" fontId="29" fillId="0" borderId="4" xfId="0" applyFont="1" applyBorder="1" applyAlignment="1" applyProtection="1">
      <protection hidden="1"/>
    </xf>
    <xf numFmtId="0" fontId="29" fillId="0" borderId="5" xfId="0" applyFont="1" applyBorder="1" applyAlignment="1" applyProtection="1">
      <protection hidden="1"/>
    </xf>
    <xf numFmtId="0" fontId="29" fillId="0" borderId="5" xfId="0" applyFont="1" applyBorder="1" applyProtection="1">
      <protection hidden="1"/>
    </xf>
    <xf numFmtId="0" fontId="29" fillId="0" borderId="5" xfId="0" applyFont="1" applyBorder="1" applyAlignment="1" applyProtection="1">
      <alignment horizontal="center" vertical="center"/>
      <protection hidden="1"/>
    </xf>
    <xf numFmtId="0" fontId="29" fillId="0" borderId="39" xfId="0" applyFont="1" applyBorder="1" applyAlignment="1" applyProtection="1">
      <alignment horizontal="center" vertical="center"/>
      <protection hidden="1"/>
    </xf>
    <xf numFmtId="0" fontId="29" fillId="0" borderId="42" xfId="0" applyFont="1" applyFill="1" applyBorder="1" applyAlignment="1" applyProtection="1">
      <alignment horizontal="center" vertical="center"/>
      <protection hidden="1"/>
    </xf>
    <xf numFmtId="0" fontId="29" fillId="0" borderId="7" xfId="0" applyFont="1" applyFill="1" applyBorder="1" applyAlignment="1" applyProtection="1">
      <alignment horizontal="center" vertical="center"/>
      <protection hidden="1"/>
    </xf>
    <xf numFmtId="0" fontId="29" fillId="0" borderId="8" xfId="0" applyFont="1" applyFill="1" applyBorder="1" applyAlignment="1" applyProtection="1">
      <alignment horizontal="center" vertical="center"/>
      <protection hidden="1"/>
    </xf>
    <xf numFmtId="180" fontId="29" fillId="0" borderId="8" xfId="0" applyNumberFormat="1" applyFont="1" applyFill="1" applyBorder="1" applyAlignment="1" applyProtection="1">
      <alignment horizontal="center" vertical="center"/>
      <protection hidden="1"/>
    </xf>
    <xf numFmtId="0" fontId="29" fillId="0" borderId="8" xfId="0" applyFont="1" applyFill="1" applyBorder="1" applyAlignment="1" applyProtection="1">
      <alignment horizontal="center"/>
      <protection hidden="1"/>
    </xf>
    <xf numFmtId="166" fontId="29" fillId="0" borderId="8" xfId="0" applyNumberFormat="1" applyFont="1" applyFill="1" applyBorder="1" applyAlignment="1" applyProtection="1">
      <alignment horizontal="center" vertical="center"/>
      <protection hidden="1"/>
    </xf>
    <xf numFmtId="169" fontId="29" fillId="0" borderId="8" xfId="0" applyNumberFormat="1" applyFont="1" applyFill="1" applyBorder="1" applyAlignment="1" applyProtection="1">
      <alignment horizontal="center" vertical="center"/>
      <protection hidden="1"/>
    </xf>
    <xf numFmtId="0" fontId="29" fillId="0" borderId="12" xfId="0" applyFont="1" applyFill="1" applyBorder="1" applyAlignment="1" applyProtection="1">
      <alignment horizontal="center" vertical="center"/>
      <protection hidden="1"/>
    </xf>
    <xf numFmtId="166" fontId="29" fillId="19" borderId="8" xfId="0" applyNumberFormat="1" applyFont="1" applyFill="1" applyBorder="1" applyAlignment="1" applyProtection="1">
      <alignment horizontal="center" vertical="center"/>
      <protection hidden="1"/>
    </xf>
    <xf numFmtId="0" fontId="29" fillId="27" borderId="12" xfId="0" applyFont="1" applyFill="1" applyBorder="1" applyAlignment="1" applyProtection="1">
      <alignment horizontal="center" vertical="center"/>
      <protection hidden="1"/>
    </xf>
    <xf numFmtId="0" fontId="29" fillId="27" borderId="39" xfId="0" applyFont="1" applyFill="1" applyBorder="1" applyAlignment="1" applyProtection="1">
      <alignment horizontal="center" vertical="center"/>
      <protection hidden="1"/>
    </xf>
    <xf numFmtId="166" fontId="10" fillId="0" borderId="0" xfId="2" applyNumberFormat="1" applyFont="1" applyFill="1" applyBorder="1" applyAlignment="1" applyProtection="1">
      <alignment horizontal="center" vertical="center"/>
      <protection hidden="1"/>
    </xf>
    <xf numFmtId="196" fontId="8" fillId="9" borderId="8" xfId="0" applyNumberFormat="1" applyFont="1" applyFill="1" applyBorder="1" applyAlignment="1" applyProtection="1">
      <alignment horizontal="center" vertical="center"/>
      <protection hidden="1"/>
    </xf>
    <xf numFmtId="2" fontId="10" fillId="9" borderId="14" xfId="2" applyNumberFormat="1" applyFont="1" applyFill="1" applyBorder="1" applyAlignment="1" applyProtection="1">
      <alignment horizontal="right" vertical="center"/>
      <protection hidden="1"/>
    </xf>
    <xf numFmtId="1" fontId="8" fillId="9" borderId="16" xfId="0" applyNumberFormat="1" applyFont="1" applyFill="1" applyBorder="1" applyAlignment="1" applyProtection="1">
      <alignment horizontal="left" vertical="center"/>
      <protection hidden="1"/>
    </xf>
    <xf numFmtId="1" fontId="8" fillId="9" borderId="64" xfId="0" applyNumberFormat="1" applyFont="1" applyFill="1" applyBorder="1" applyAlignment="1" applyProtection="1">
      <alignment horizontal="center" vertical="center"/>
      <protection hidden="1"/>
    </xf>
    <xf numFmtId="1" fontId="8" fillId="9" borderId="3" xfId="0" applyNumberFormat="1" applyFont="1" applyFill="1" applyBorder="1" applyAlignment="1" applyProtection="1">
      <alignment horizontal="center" vertical="center"/>
      <protection hidden="1"/>
    </xf>
    <xf numFmtId="1" fontId="8" fillId="9" borderId="28" xfId="0" applyNumberFormat="1" applyFont="1" applyFill="1" applyBorder="1" applyAlignment="1" applyProtection="1">
      <alignment horizontal="center" vertical="center"/>
      <protection hidden="1"/>
    </xf>
    <xf numFmtId="2" fontId="13" fillId="9" borderId="73" xfId="0" applyNumberFormat="1" applyFont="1" applyFill="1" applyBorder="1" applyAlignment="1" applyProtection="1">
      <alignment horizontal="center" vertical="center"/>
      <protection hidden="1"/>
    </xf>
    <xf numFmtId="2" fontId="8" fillId="0" borderId="7" xfId="0" applyNumberFormat="1" applyFont="1" applyBorder="1" applyProtection="1">
      <protection hidden="1"/>
    </xf>
    <xf numFmtId="170" fontId="13" fillId="6" borderId="33" xfId="0" applyNumberFormat="1" applyFont="1" applyFill="1" applyBorder="1" applyAlignment="1" applyProtection="1">
      <alignment horizontal="center" vertical="center"/>
      <protection hidden="1"/>
    </xf>
    <xf numFmtId="0" fontId="1" fillId="0" borderId="42"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8" fillId="6" borderId="35" xfId="0" applyFont="1" applyFill="1" applyBorder="1" applyAlignment="1" applyProtection="1">
      <alignment horizontal="center" vertical="center"/>
      <protection hidden="1"/>
    </xf>
    <xf numFmtId="174" fontId="28" fillId="0" borderId="4" xfId="0" applyNumberFormat="1" applyFont="1" applyFill="1" applyBorder="1" applyAlignment="1" applyProtection="1">
      <alignment horizontal="center" vertical="center"/>
      <protection hidden="1"/>
    </xf>
    <xf numFmtId="178" fontId="28" fillId="0" borderId="7" xfId="0" applyNumberFormat="1" applyFont="1" applyFill="1" applyBorder="1" applyAlignment="1" applyProtection="1">
      <alignment horizontal="center" vertical="center"/>
      <protection hidden="1"/>
    </xf>
    <xf numFmtId="0" fontId="28" fillId="0" borderId="8" xfId="0" applyFont="1" applyFill="1" applyBorder="1" applyAlignment="1" applyProtection="1">
      <alignment horizontal="center" vertical="center"/>
      <protection hidden="1"/>
    </xf>
    <xf numFmtId="170" fontId="28" fillId="0" borderId="8" xfId="0" applyNumberFormat="1" applyFont="1" applyFill="1" applyBorder="1" applyAlignment="1" applyProtection="1">
      <alignment horizontal="center" vertical="center"/>
      <protection hidden="1"/>
    </xf>
    <xf numFmtId="0" fontId="28" fillId="0" borderId="12" xfId="0" applyFont="1" applyFill="1" applyBorder="1" applyAlignment="1" applyProtection="1">
      <alignment horizontal="center" vertical="center"/>
      <protection hidden="1"/>
    </xf>
    <xf numFmtId="169" fontId="10" fillId="9" borderId="5" xfId="0" applyNumberFormat="1" applyFont="1" applyFill="1" applyBorder="1" applyAlignment="1" applyProtection="1">
      <alignment horizontal="center" vertical="center"/>
      <protection hidden="1"/>
    </xf>
    <xf numFmtId="0" fontId="42" fillId="0" borderId="51" xfId="0" applyFont="1" applyBorder="1" applyAlignment="1">
      <alignment horizontal="center" vertical="center"/>
    </xf>
    <xf numFmtId="0" fontId="42" fillId="0" borderId="59" xfId="0" applyFont="1" applyBorder="1" applyAlignment="1">
      <alignment horizontal="center" vertical="center"/>
    </xf>
    <xf numFmtId="171" fontId="42" fillId="7" borderId="1" xfId="0" applyNumberFormat="1" applyFont="1" applyFill="1" applyBorder="1" applyAlignment="1" applyProtection="1">
      <alignment horizontal="center" vertical="center" wrapText="1"/>
      <protection locked="0"/>
    </xf>
    <xf numFmtId="171" fontId="42" fillId="25" borderId="1" xfId="0" applyNumberFormat="1" applyFont="1" applyFill="1" applyBorder="1" applyAlignment="1">
      <alignment horizontal="center" vertical="center"/>
    </xf>
    <xf numFmtId="171" fontId="42" fillId="7" borderId="42" xfId="0" applyNumberFormat="1" applyFont="1" applyFill="1" applyBorder="1" applyAlignment="1" applyProtection="1">
      <alignment horizontal="center" vertical="center" wrapText="1"/>
      <protection locked="0"/>
    </xf>
    <xf numFmtId="171" fontId="42" fillId="25" borderId="42" xfId="0" applyNumberFormat="1" applyFont="1" applyFill="1" applyBorder="1" applyAlignment="1">
      <alignment horizontal="center" vertical="center"/>
    </xf>
    <xf numFmtId="171" fontId="42" fillId="7" borderId="3" xfId="0" applyNumberFormat="1" applyFont="1" applyFill="1" applyBorder="1" applyAlignment="1" applyProtection="1">
      <alignment horizontal="center" vertical="center" wrapText="1"/>
      <protection locked="0"/>
    </xf>
    <xf numFmtId="171" fontId="42" fillId="25" borderId="3" xfId="0" applyNumberFormat="1" applyFont="1" applyFill="1" applyBorder="1" applyAlignment="1">
      <alignment horizontal="center" vertical="center"/>
    </xf>
    <xf numFmtId="171" fontId="42" fillId="25" borderId="13" xfId="0" applyNumberFormat="1" applyFont="1" applyFill="1" applyBorder="1" applyAlignment="1">
      <alignment horizontal="center" vertical="center" wrapText="1"/>
    </xf>
    <xf numFmtId="0" fontId="42" fillId="24" borderId="70" xfId="0" applyFont="1" applyFill="1" applyBorder="1" applyAlignment="1">
      <alignment horizontal="center" vertical="center" wrapText="1"/>
    </xf>
    <xf numFmtId="164" fontId="0" fillId="0" borderId="1" xfId="0" applyNumberFormat="1" applyBorder="1" applyAlignment="1">
      <alignment horizontal="center" vertical="center"/>
    </xf>
    <xf numFmtId="9" fontId="0" fillId="0" borderId="1" xfId="1" applyFont="1" applyBorder="1" applyAlignment="1">
      <alignment horizontal="center" vertical="center"/>
    </xf>
    <xf numFmtId="171" fontId="0" fillId="0" borderId="1" xfId="0" applyNumberFormat="1" applyBorder="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9" fontId="0" fillId="0" borderId="8" xfId="1" applyFont="1" applyBorder="1" applyAlignment="1">
      <alignment horizontal="center" vertical="center"/>
    </xf>
    <xf numFmtId="2" fontId="0" fillId="0" borderId="1" xfId="0" applyNumberFormat="1" applyBorder="1" applyAlignment="1">
      <alignment horizontal="center" vertical="center"/>
    </xf>
    <xf numFmtId="2" fontId="0" fillId="0" borderId="8" xfId="0" applyNumberFormat="1" applyBorder="1" applyAlignment="1">
      <alignment horizontal="center" vertical="center"/>
    </xf>
    <xf numFmtId="171" fontId="0" fillId="0" borderId="8" xfId="0" applyNumberFormat="1" applyBorder="1" applyAlignment="1">
      <alignment horizontal="center" vertical="center"/>
    </xf>
    <xf numFmtId="0" fontId="42" fillId="24" borderId="58" xfId="0" applyFont="1" applyFill="1" applyBorder="1" applyAlignment="1">
      <alignment horizontal="center" vertical="center" wrapText="1"/>
    </xf>
    <xf numFmtId="0" fontId="42" fillId="24" borderId="51" xfId="0" applyFont="1" applyFill="1" applyBorder="1" applyAlignment="1">
      <alignment horizontal="center" vertical="center" wrapText="1"/>
    </xf>
    <xf numFmtId="0" fontId="42" fillId="24" borderId="59" xfId="0" applyFont="1" applyFill="1" applyBorder="1" applyAlignment="1">
      <alignment horizontal="center" vertical="center" wrapText="1"/>
    </xf>
    <xf numFmtId="197" fontId="0" fillId="0" borderId="1" xfId="0" applyNumberFormat="1" applyBorder="1" applyAlignment="1">
      <alignment horizontal="center" vertical="center"/>
    </xf>
    <xf numFmtId="197" fontId="0" fillId="0" borderId="5" xfId="0" applyNumberFormat="1" applyBorder="1" applyAlignment="1">
      <alignment horizontal="center" vertical="center"/>
    </xf>
    <xf numFmtId="0" fontId="0" fillId="0" borderId="39" xfId="0" applyNumberFormat="1" applyBorder="1" applyAlignment="1">
      <alignment horizontal="center" vertical="center"/>
    </xf>
    <xf numFmtId="0" fontId="0" fillId="0" borderId="42" xfId="0" applyNumberFormat="1" applyBorder="1" applyAlignment="1">
      <alignment horizontal="center" vertical="center"/>
    </xf>
    <xf numFmtId="197" fontId="0" fillId="0" borderId="8" xfId="0" applyNumberFormat="1" applyBorder="1" applyAlignment="1">
      <alignment horizontal="center" vertical="center"/>
    </xf>
    <xf numFmtId="0" fontId="0" fillId="0" borderId="12" xfId="0" applyNumberFormat="1" applyBorder="1" applyAlignment="1">
      <alignment horizontal="center" vertical="center"/>
    </xf>
    <xf numFmtId="171" fontId="0" fillId="0" borderId="5" xfId="0" applyNumberFormat="1" applyBorder="1" applyAlignment="1">
      <alignment horizontal="center" vertical="center"/>
    </xf>
    <xf numFmtId="1" fontId="6" fillId="2" borderId="17" xfId="0" applyNumberFormat="1" applyFont="1" applyFill="1" applyBorder="1" applyAlignment="1" applyProtection="1">
      <alignment horizontal="center" vertical="center" wrapText="1"/>
      <protection hidden="1"/>
    </xf>
    <xf numFmtId="1" fontId="6" fillId="2" borderId="37" xfId="0" applyNumberFormat="1" applyFont="1" applyFill="1" applyBorder="1" applyAlignment="1" applyProtection="1">
      <alignment horizontal="center" vertical="center" wrapText="1"/>
      <protection hidden="1"/>
    </xf>
    <xf numFmtId="0" fontId="0" fillId="0" borderId="4"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44" fillId="0" borderId="0" xfId="0" applyFont="1" applyBorder="1" applyAlignment="1" applyProtection="1">
      <alignment horizontal="center" vertical="center" wrapText="1"/>
      <protection hidden="1"/>
    </xf>
    <xf numFmtId="180" fontId="44" fillId="0" borderId="0" xfId="0" applyNumberFormat="1" applyFont="1" applyBorder="1" applyAlignment="1" applyProtection="1">
      <alignment horizontal="center" vertical="center" wrapText="1"/>
      <protection hidden="1"/>
    </xf>
    <xf numFmtId="0" fontId="29" fillId="0" borderId="0" xfId="0" applyFont="1" applyBorder="1" applyAlignment="1" applyProtection="1">
      <alignment horizontal="center"/>
      <protection hidden="1"/>
    </xf>
    <xf numFmtId="2" fontId="26" fillId="0" borderId="0" xfId="0" applyNumberFormat="1" applyFont="1" applyAlignment="1" applyProtection="1">
      <alignment horizontal="left" vertical="center"/>
      <protection hidden="1"/>
    </xf>
    <xf numFmtId="0" fontId="29" fillId="0" borderId="0" xfId="0" applyFont="1" applyAlignment="1" applyProtection="1">
      <alignment horizontal="left" vertical="center" wrapText="1"/>
      <protection hidden="1"/>
    </xf>
    <xf numFmtId="0" fontId="29" fillId="0" borderId="0" xfId="0" applyFont="1" applyAlignment="1" applyProtection="1">
      <alignment horizontal="center" vertical="center" wrapText="1"/>
      <protection hidden="1"/>
    </xf>
    <xf numFmtId="0" fontId="28" fillId="2" borderId="0" xfId="0" applyFont="1" applyFill="1" applyBorder="1" applyAlignment="1" applyProtection="1">
      <alignment vertical="justify" wrapText="1" readingOrder="1"/>
      <protection hidden="1"/>
    </xf>
    <xf numFmtId="168" fontId="29" fillId="2" borderId="0" xfId="0" applyNumberFormat="1" applyFont="1" applyFill="1" applyBorder="1" applyAlignment="1" applyProtection="1">
      <alignment horizontal="left" vertical="center" wrapText="1"/>
      <protection hidden="1"/>
    </xf>
    <xf numFmtId="189" fontId="29" fillId="2" borderId="0" xfId="0" applyNumberFormat="1" applyFont="1" applyFill="1" applyBorder="1" applyAlignment="1" applyProtection="1">
      <alignment horizontal="left" vertical="center" wrapText="1"/>
      <protection hidden="1"/>
    </xf>
    <xf numFmtId="188" fontId="29" fillId="2" borderId="0" xfId="0" applyNumberFormat="1" applyFont="1" applyFill="1" applyBorder="1" applyAlignment="1" applyProtection="1">
      <alignment horizontal="left" vertical="center" wrapText="1"/>
      <protection hidden="1"/>
    </xf>
    <xf numFmtId="174" fontId="29" fillId="2" borderId="0" xfId="0" applyNumberFormat="1" applyFont="1" applyFill="1" applyBorder="1" applyAlignment="1" applyProtection="1">
      <alignment horizontal="left" vertical="center" wrapText="1"/>
      <protection hidden="1"/>
    </xf>
    <xf numFmtId="187" fontId="29" fillId="2" borderId="0" xfId="0" applyNumberFormat="1" applyFont="1" applyFill="1" applyBorder="1" applyAlignment="1" applyProtection="1">
      <alignment horizontal="left" vertical="center" wrapText="1"/>
      <protection hidden="1"/>
    </xf>
    <xf numFmtId="14" fontId="29" fillId="0" borderId="0" xfId="0" applyNumberFormat="1" applyFont="1" applyAlignment="1" applyProtection="1">
      <alignment horizontal="center" vertical="center" wrapText="1"/>
      <protection hidden="1"/>
    </xf>
    <xf numFmtId="0" fontId="26" fillId="0" borderId="0" xfId="0" applyFont="1" applyBorder="1" applyAlignment="1" applyProtection="1">
      <alignment horizontal="left" vertical="center" wrapText="1"/>
      <protection hidden="1"/>
    </xf>
    <xf numFmtId="0" fontId="29" fillId="0" borderId="0" xfId="0" applyFont="1" applyBorder="1" applyAlignment="1" applyProtection="1">
      <alignment horizontal="center" vertical="center" wrapText="1"/>
      <protection hidden="1"/>
    </xf>
    <xf numFmtId="0" fontId="16" fillId="0" borderId="0" xfId="0" applyFont="1" applyBorder="1" applyAlignment="1" applyProtection="1">
      <alignment horizontal="left" vertical="center" wrapText="1"/>
      <protection hidden="1"/>
    </xf>
    <xf numFmtId="0" fontId="29" fillId="0" borderId="0" xfId="0" applyFont="1" applyBorder="1" applyAlignment="1" applyProtection="1">
      <alignment vertical="center" wrapText="1"/>
      <protection locked="0" hidden="1"/>
    </xf>
    <xf numFmtId="0" fontId="29" fillId="0" borderId="0" xfId="0" applyFont="1" applyFill="1" applyAlignment="1" applyProtection="1">
      <alignment horizontal="center" vertical="center" wrapText="1"/>
      <protection hidden="1"/>
    </xf>
    <xf numFmtId="0" fontId="29" fillId="2" borderId="0" xfId="0" applyFont="1" applyFill="1" applyProtection="1">
      <protection hidden="1"/>
    </xf>
    <xf numFmtId="171" fontId="26" fillId="2" borderId="11" xfId="0" applyNumberFormat="1" applyFont="1" applyFill="1" applyBorder="1" applyAlignment="1" applyProtection="1">
      <alignment horizontal="center" vertical="center" wrapText="1"/>
      <protection hidden="1"/>
    </xf>
    <xf numFmtId="0" fontId="29" fillId="0" borderId="0" xfId="0" applyFont="1" applyFill="1" applyAlignment="1" applyProtection="1">
      <alignment horizontal="left" vertical="center" wrapText="1"/>
      <protection hidden="1"/>
    </xf>
    <xf numFmtId="0" fontId="26" fillId="2" borderId="0" xfId="0" applyFont="1" applyFill="1" applyAlignment="1" applyProtection="1">
      <alignment horizontal="left" vertical="center"/>
      <protection hidden="1"/>
    </xf>
    <xf numFmtId="0" fontId="39" fillId="2" borderId="0" xfId="0" applyFont="1" applyFill="1" applyAlignment="1" applyProtection="1">
      <alignment horizontal="left" vertical="center"/>
      <protection hidden="1"/>
    </xf>
    <xf numFmtId="0" fontId="26" fillId="0" borderId="0" xfId="0" applyFont="1" applyFill="1" applyAlignment="1" applyProtection="1">
      <alignment horizontal="left" vertical="center" wrapText="1"/>
      <protection hidden="1"/>
    </xf>
    <xf numFmtId="186" fontId="9" fillId="0" borderId="16" xfId="0" applyNumberFormat="1" applyFont="1" applyBorder="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2" fontId="26" fillId="0" borderId="23" xfId="0" applyNumberFormat="1" applyFont="1" applyBorder="1" applyAlignment="1" applyProtection="1">
      <alignment horizontal="center" vertical="center" wrapText="1"/>
      <protection hidden="1"/>
    </xf>
    <xf numFmtId="0" fontId="26" fillId="0" borderId="23" xfId="0" applyFont="1" applyBorder="1" applyAlignment="1" applyProtection="1">
      <alignment horizontal="center" vertical="center" wrapText="1"/>
      <protection hidden="1"/>
    </xf>
    <xf numFmtId="185" fontId="29" fillId="0" borderId="5" xfId="0" applyNumberFormat="1" applyFont="1" applyBorder="1" applyAlignment="1" applyProtection="1">
      <alignment horizontal="center" vertical="center" wrapText="1"/>
      <protection hidden="1"/>
    </xf>
    <xf numFmtId="171" fontId="29" fillId="0" borderId="39" xfId="0" applyNumberFormat="1" applyFont="1" applyBorder="1" applyAlignment="1" applyProtection="1">
      <alignment horizontal="center" vertical="center" wrapText="1"/>
      <protection hidden="1"/>
    </xf>
    <xf numFmtId="185" fontId="29" fillId="0" borderId="20" xfId="0" applyNumberFormat="1" applyFont="1" applyBorder="1" applyAlignment="1" applyProtection="1">
      <alignment horizontal="center" vertical="center" wrapText="1"/>
      <protection hidden="1"/>
    </xf>
    <xf numFmtId="171" fontId="29" fillId="0" borderId="42" xfId="0" applyNumberFormat="1" applyFont="1" applyBorder="1" applyAlignment="1" applyProtection="1">
      <alignment horizontal="center" vertical="center" wrapText="1"/>
      <protection hidden="1"/>
    </xf>
    <xf numFmtId="185" fontId="29" fillId="0" borderId="1" xfId="0" applyNumberFormat="1" applyFont="1" applyBorder="1" applyAlignment="1" applyProtection="1">
      <alignment horizontal="center" vertical="center" wrapText="1"/>
      <protection hidden="1"/>
    </xf>
    <xf numFmtId="171" fontId="29" fillId="0" borderId="46" xfId="0" applyNumberFormat="1" applyFont="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171" fontId="26" fillId="2" borderId="0" xfId="0" applyNumberFormat="1" applyFont="1" applyFill="1" applyBorder="1" applyAlignment="1" applyProtection="1">
      <alignment horizontal="center" vertical="center" wrapText="1"/>
      <protection hidden="1"/>
    </xf>
    <xf numFmtId="0" fontId="29" fillId="2" borderId="0" xfId="0" applyFont="1" applyFill="1" applyAlignment="1" applyProtection="1">
      <alignment vertical="justify" wrapText="1"/>
      <protection locked="0" hidden="1"/>
    </xf>
    <xf numFmtId="0" fontId="29" fillId="0" borderId="0" xfId="0" applyFont="1" applyAlignment="1" applyProtection="1">
      <alignment horizontal="left" vertical="justify" wrapText="1"/>
      <protection hidden="1"/>
    </xf>
    <xf numFmtId="186" fontId="9" fillId="2" borderId="16" xfId="0" applyNumberFormat="1" applyFont="1" applyFill="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185" fontId="10" fillId="0" borderId="5" xfId="0" applyNumberFormat="1" applyFont="1" applyBorder="1" applyAlignment="1" applyProtection="1">
      <alignment horizontal="center" vertical="center" wrapText="1"/>
      <protection hidden="1"/>
    </xf>
    <xf numFmtId="185" fontId="10" fillId="0" borderId="39" xfId="0" applyNumberFormat="1" applyFont="1" applyBorder="1" applyAlignment="1" applyProtection="1">
      <alignment horizontal="center" vertical="center" wrapText="1"/>
      <protection hidden="1"/>
    </xf>
    <xf numFmtId="185" fontId="10" fillId="0" borderId="1" xfId="0" applyNumberFormat="1" applyFont="1" applyBorder="1" applyAlignment="1" applyProtection="1">
      <alignment horizontal="center" vertical="center" wrapText="1"/>
      <protection hidden="1"/>
    </xf>
    <xf numFmtId="185" fontId="10" fillId="0" borderId="42" xfId="0" applyNumberFormat="1" applyFont="1" applyBorder="1" applyAlignment="1" applyProtection="1">
      <alignment horizontal="center" vertical="center" wrapText="1"/>
      <protection hidden="1"/>
    </xf>
    <xf numFmtId="185" fontId="10" fillId="0" borderId="8" xfId="0" applyNumberFormat="1" applyFont="1" applyBorder="1" applyAlignment="1" applyProtection="1">
      <alignment horizontal="center" vertical="center" wrapText="1"/>
      <protection hidden="1"/>
    </xf>
    <xf numFmtId="185" fontId="10" fillId="0" borderId="12" xfId="0" applyNumberFormat="1" applyFont="1" applyBorder="1" applyAlignment="1" applyProtection="1">
      <alignment horizontal="center" vertical="center" wrapText="1"/>
      <protection hidden="1"/>
    </xf>
    <xf numFmtId="171" fontId="10" fillId="2" borderId="20" xfId="0" applyNumberFormat="1" applyFont="1" applyFill="1" applyBorder="1" applyAlignment="1" applyProtection="1">
      <alignment horizontal="center" vertical="center"/>
      <protection hidden="1"/>
    </xf>
    <xf numFmtId="164" fontId="10" fillId="2" borderId="44" xfId="0" applyNumberFormat="1" applyFont="1" applyFill="1" applyBorder="1" applyAlignment="1" applyProtection="1">
      <alignment horizontal="center" vertical="center"/>
      <protection hidden="1"/>
    </xf>
    <xf numFmtId="164" fontId="10" fillId="2" borderId="42" xfId="0" applyNumberFormat="1" applyFont="1" applyFill="1" applyBorder="1" applyAlignment="1" applyProtection="1">
      <alignment horizontal="center" vertical="center"/>
      <protection hidden="1"/>
    </xf>
    <xf numFmtId="2" fontId="10" fillId="2" borderId="42" xfId="0" applyNumberFormat="1" applyFont="1" applyFill="1" applyBorder="1" applyAlignment="1" applyProtection="1">
      <alignment horizontal="center" vertical="center"/>
      <protection hidden="1"/>
    </xf>
    <xf numFmtId="2" fontId="10" fillId="2" borderId="12" xfId="0" applyNumberFormat="1" applyFont="1" applyFill="1" applyBorder="1" applyAlignment="1" applyProtection="1">
      <alignment horizontal="center" vertical="center"/>
      <protection hidden="1"/>
    </xf>
    <xf numFmtId="1" fontId="29" fillId="0" borderId="0" xfId="0" applyNumberFormat="1" applyFont="1" applyBorder="1" applyAlignment="1" applyProtection="1">
      <alignment horizontal="center" vertical="center" wrapText="1"/>
      <protection hidden="1"/>
    </xf>
    <xf numFmtId="0" fontId="9" fillId="0" borderId="35" xfId="0" applyFont="1" applyFill="1" applyBorder="1" applyAlignment="1" applyProtection="1">
      <alignment horizontal="center" vertical="center" wrapText="1"/>
      <protection hidden="1"/>
    </xf>
    <xf numFmtId="164" fontId="10" fillId="0" borderId="0" xfId="0" applyNumberFormat="1" applyFont="1" applyAlignment="1" applyProtection="1">
      <alignment horizontal="center" vertical="center"/>
      <protection hidden="1"/>
    </xf>
    <xf numFmtId="164" fontId="29" fillId="0" borderId="0" xfId="0" applyNumberFormat="1" applyFont="1" applyBorder="1" applyAlignment="1" applyProtection="1">
      <alignment horizontal="center" vertical="center" wrapText="1"/>
      <protection hidden="1"/>
    </xf>
    <xf numFmtId="171" fontId="29" fillId="0" borderId="0" xfId="0" applyNumberFormat="1" applyFont="1" applyBorder="1" applyAlignment="1" applyProtection="1">
      <alignment horizontal="center" vertical="center" wrapText="1"/>
      <protection hidden="1"/>
    </xf>
    <xf numFmtId="173" fontId="10" fillId="0" borderId="0" xfId="0" applyNumberFormat="1" applyFont="1" applyAlignment="1" applyProtection="1">
      <alignment horizontal="center" vertical="center"/>
      <protection hidden="1"/>
    </xf>
    <xf numFmtId="185" fontId="10" fillId="2" borderId="0" xfId="0" applyNumberFormat="1" applyFont="1" applyFill="1" applyBorder="1" applyAlignment="1" applyProtection="1">
      <alignment horizontal="center" vertical="center" wrapText="1"/>
      <protection hidden="1"/>
    </xf>
    <xf numFmtId="2"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169" fontId="29" fillId="0" borderId="0" xfId="0" applyNumberFormat="1" applyFont="1" applyBorder="1" applyAlignment="1" applyProtection="1">
      <alignment horizontal="center" vertical="center" wrapText="1"/>
      <protection hidden="1"/>
    </xf>
    <xf numFmtId="2" fontId="29" fillId="0" borderId="0" xfId="0" applyNumberFormat="1" applyFont="1" applyBorder="1" applyAlignment="1" applyProtection="1">
      <alignment horizontal="center" vertical="center" wrapText="1"/>
      <protection hidden="1"/>
    </xf>
    <xf numFmtId="2" fontId="16" fillId="2" borderId="10" xfId="0" applyNumberFormat="1" applyFont="1" applyFill="1" applyBorder="1" applyAlignment="1" applyProtection="1">
      <alignment horizontal="center" vertical="center" wrapText="1"/>
      <protection hidden="1"/>
    </xf>
    <xf numFmtId="2" fontId="16" fillId="2" borderId="11" xfId="0" applyNumberFormat="1" applyFont="1" applyFill="1" applyBorder="1" applyAlignment="1" applyProtection="1">
      <alignment horizontal="center" vertical="center" wrapText="1"/>
      <protection hidden="1"/>
    </xf>
    <xf numFmtId="2" fontId="9" fillId="0" borderId="0" xfId="0" applyNumberFormat="1" applyFont="1" applyBorder="1" applyAlignment="1" applyProtection="1">
      <alignment vertical="center" wrapText="1"/>
      <protection hidden="1"/>
    </xf>
    <xf numFmtId="0" fontId="26" fillId="0" borderId="0" xfId="0" applyFont="1" applyBorder="1" applyAlignment="1" applyProtection="1">
      <alignment horizontal="center" vertical="center" wrapText="1"/>
      <protection hidden="1"/>
    </xf>
    <xf numFmtId="0" fontId="67" fillId="0" borderId="0" xfId="0" applyFont="1" applyFill="1" applyAlignment="1">
      <alignment vertical="center" wrapText="1"/>
    </xf>
    <xf numFmtId="0" fontId="29" fillId="0" borderId="0" xfId="0" applyFont="1" applyAlignment="1" applyProtection="1">
      <alignment vertical="top"/>
      <protection hidden="1"/>
    </xf>
    <xf numFmtId="0" fontId="29" fillId="2" borderId="0" xfId="0" applyFont="1" applyFill="1" applyBorder="1" applyAlignment="1" applyProtection="1">
      <alignment vertical="center" wrapText="1"/>
      <protection locked="0" hidden="1"/>
    </xf>
    <xf numFmtId="0" fontId="29" fillId="23" borderId="0" xfId="0" applyFont="1" applyFill="1" applyProtection="1">
      <protection hidden="1"/>
    </xf>
    <xf numFmtId="170" fontId="29" fillId="2" borderId="0" xfId="0" applyNumberFormat="1" applyFont="1" applyFill="1" applyBorder="1" applyAlignment="1" applyProtection="1">
      <alignment horizontal="left" vertical="center" wrapText="1"/>
      <protection hidden="1"/>
    </xf>
    <xf numFmtId="0" fontId="26" fillId="0" borderId="0" xfId="0" applyFont="1" applyFill="1" applyAlignment="1" applyProtection="1">
      <alignment vertical="center" wrapText="1"/>
      <protection hidden="1"/>
    </xf>
    <xf numFmtId="11" fontId="29" fillId="0" borderId="0" xfId="0" applyNumberFormat="1" applyFont="1" applyFill="1" applyProtection="1">
      <protection hidden="1"/>
    </xf>
    <xf numFmtId="0" fontId="29" fillId="0" borderId="0" xfId="0" applyFont="1" applyFill="1" applyBorder="1" applyAlignment="1" applyProtection="1">
      <alignment horizontal="left" vertical="center" wrapText="1"/>
      <protection hidden="1"/>
    </xf>
    <xf numFmtId="2" fontId="26" fillId="0" borderId="0" xfId="0" applyNumberFormat="1" applyFont="1" applyAlignment="1" applyProtection="1">
      <alignment horizontal="center" vertical="center"/>
      <protection hidden="1"/>
    </xf>
    <xf numFmtId="0" fontId="29" fillId="0" borderId="0" xfId="0" applyFont="1" applyFill="1" applyAlignment="1" applyProtection="1">
      <alignment vertical="justify" wrapText="1"/>
      <protection hidden="1"/>
    </xf>
    <xf numFmtId="0" fontId="29" fillId="0" borderId="0" xfId="0" applyFont="1" applyAlignment="1" applyProtection="1">
      <alignment vertical="justify" wrapText="1"/>
      <protection hidden="1"/>
    </xf>
    <xf numFmtId="0" fontId="29" fillId="0" borderId="0" xfId="0" applyFont="1" applyAlignment="1" applyProtection="1">
      <protection hidden="1"/>
    </xf>
    <xf numFmtId="0" fontId="29" fillId="2" borderId="0" xfId="0" applyFont="1" applyFill="1" applyAlignment="1" applyProtection="1">
      <protection hidden="1"/>
    </xf>
    <xf numFmtId="0" fontId="29" fillId="2" borderId="0" xfId="0" applyFont="1" applyFill="1" applyAlignment="1" applyProtection="1">
      <alignment horizontal="center" vertical="center" wrapText="1"/>
      <protection locked="0" hidden="1"/>
    </xf>
    <xf numFmtId="0" fontId="29" fillId="2" borderId="0" xfId="0" applyFont="1" applyFill="1" applyAlignment="1" applyProtection="1">
      <alignment vertical="center" wrapText="1"/>
      <protection locked="0" hidden="1"/>
    </xf>
    <xf numFmtId="0" fontId="26" fillId="0" borderId="0" xfId="0" applyFont="1" applyAlignment="1" applyProtection="1">
      <protection hidden="1"/>
    </xf>
    <xf numFmtId="0" fontId="29" fillId="0" borderId="0" xfId="0" applyFont="1" applyAlignment="1" applyProtection="1">
      <alignment horizontal="justify" vertical="center" wrapText="1"/>
      <protection locked="0" hidden="1"/>
    </xf>
    <xf numFmtId="0" fontId="69" fillId="2" borderId="36" xfId="0" applyFont="1" applyFill="1" applyBorder="1" applyAlignment="1" applyProtection="1">
      <alignment horizontal="justify" vertical="center" wrapText="1"/>
      <protection hidden="1"/>
    </xf>
    <xf numFmtId="2" fontId="29" fillId="28" borderId="0" xfId="3" applyFont="1" applyFill="1" applyBorder="1" applyAlignment="1" applyProtection="1">
      <alignment horizontal="center" vertical="center" wrapText="1"/>
      <protection hidden="1"/>
    </xf>
    <xf numFmtId="168" fontId="29" fillId="0" borderId="0" xfId="0" applyNumberFormat="1" applyFont="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164" fontId="10" fillId="0" borderId="1" xfId="0" applyNumberFormat="1" applyFont="1" applyFill="1" applyBorder="1" applyAlignment="1" applyProtection="1">
      <alignment horizontal="center" vertical="center" wrapText="1"/>
      <protection hidden="1"/>
    </xf>
    <xf numFmtId="164" fontId="10" fillId="0" borderId="1" xfId="1" applyNumberFormat="1" applyFont="1" applyFill="1" applyBorder="1" applyAlignment="1" applyProtection="1">
      <alignment horizontal="center" vertical="center" wrapText="1"/>
      <protection hidden="1"/>
    </xf>
    <xf numFmtId="0" fontId="10" fillId="0" borderId="42" xfId="0" applyFont="1" applyFill="1" applyBorder="1" applyAlignment="1" applyProtection="1">
      <alignment horizontal="center" vertical="center"/>
      <protection hidden="1"/>
    </xf>
    <xf numFmtId="2" fontId="10" fillId="0" borderId="1" xfId="0" applyNumberFormat="1" applyFont="1" applyFill="1" applyBorder="1" applyAlignment="1" applyProtection="1">
      <alignment horizontal="center" vertical="center" wrapText="1"/>
      <protection hidden="1"/>
    </xf>
    <xf numFmtId="2" fontId="10" fillId="0" borderId="8" xfId="0" applyNumberFormat="1"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protection hidden="1"/>
    </xf>
    <xf numFmtId="164" fontId="10" fillId="0" borderId="20" xfId="0" applyNumberFormat="1" applyFont="1" applyFill="1" applyBorder="1" applyAlignment="1" applyProtection="1">
      <alignment horizontal="center" vertical="center" wrapText="1"/>
      <protection hidden="1"/>
    </xf>
    <xf numFmtId="164" fontId="10" fillId="0" borderId="20" xfId="1" applyNumberFormat="1" applyFont="1" applyFill="1" applyBorder="1" applyAlignment="1" applyProtection="1">
      <alignment horizontal="center" vertical="center" wrapText="1"/>
      <protection hidden="1"/>
    </xf>
    <xf numFmtId="0" fontId="10" fillId="0" borderId="44" xfId="0" applyFont="1" applyFill="1" applyBorder="1" applyAlignment="1" applyProtection="1">
      <alignment horizontal="center" vertical="center"/>
      <protection hidden="1"/>
    </xf>
    <xf numFmtId="0" fontId="28" fillId="15" borderId="4" xfId="0" applyFont="1" applyFill="1" applyBorder="1" applyAlignment="1" applyProtection="1">
      <alignment horizontal="center" vertical="center"/>
      <protection hidden="1"/>
    </xf>
    <xf numFmtId="0" fontId="28" fillId="15" borderId="5" xfId="0" applyFont="1" applyFill="1" applyBorder="1" applyAlignment="1" applyProtection="1">
      <alignment horizontal="center" vertical="center"/>
      <protection hidden="1"/>
    </xf>
    <xf numFmtId="171" fontId="28" fillId="15" borderId="5" xfId="0" applyNumberFormat="1" applyFont="1" applyFill="1" applyBorder="1" applyAlignment="1" applyProtection="1">
      <alignment horizontal="center" vertical="center"/>
      <protection hidden="1"/>
    </xf>
    <xf numFmtId="0" fontId="28" fillId="15" borderId="59" xfId="0" applyFont="1" applyFill="1" applyBorder="1" applyAlignment="1" applyProtection="1">
      <alignment horizontal="center" vertical="center"/>
      <protection hidden="1"/>
    </xf>
    <xf numFmtId="0" fontId="28" fillId="15" borderId="41" xfId="0" applyFont="1" applyFill="1" applyBorder="1" applyAlignment="1" applyProtection="1">
      <alignment horizontal="center" vertical="center"/>
      <protection hidden="1"/>
    </xf>
    <xf numFmtId="0" fontId="28" fillId="15" borderId="20" xfId="0" applyFont="1" applyFill="1" applyBorder="1" applyAlignment="1" applyProtection="1">
      <alignment horizontal="center" vertical="center"/>
      <protection hidden="1"/>
    </xf>
    <xf numFmtId="171" fontId="28" fillId="15" borderId="20" xfId="0" applyNumberFormat="1" applyFont="1" applyFill="1" applyBorder="1" applyAlignment="1" applyProtection="1">
      <alignment horizontal="center" vertical="center"/>
      <protection hidden="1"/>
    </xf>
    <xf numFmtId="0" fontId="28" fillId="15" borderId="42" xfId="0" applyFont="1" applyFill="1" applyBorder="1" applyAlignment="1" applyProtection="1">
      <alignment horizontal="center" vertical="center"/>
      <protection hidden="1"/>
    </xf>
    <xf numFmtId="171" fontId="28" fillId="15" borderId="7" xfId="0" applyNumberFormat="1" applyFont="1" applyFill="1" applyBorder="1" applyAlignment="1" applyProtection="1">
      <alignment horizontal="center" vertical="center"/>
      <protection hidden="1"/>
    </xf>
    <xf numFmtId="0" fontId="28" fillId="15" borderId="49" xfId="0" applyFont="1" applyFill="1" applyBorder="1" applyAlignment="1" applyProtection="1">
      <alignment horizontal="center" vertical="center"/>
      <protection hidden="1"/>
    </xf>
    <xf numFmtId="171" fontId="28" fillId="15" borderId="49" xfId="0" applyNumberFormat="1" applyFont="1" applyFill="1" applyBorder="1" applyAlignment="1" applyProtection="1">
      <alignment horizontal="center" vertical="center"/>
      <protection hidden="1"/>
    </xf>
    <xf numFmtId="0" fontId="28" fillId="15" borderId="12" xfId="0" applyFont="1" applyFill="1" applyBorder="1" applyAlignment="1" applyProtection="1">
      <alignment horizontal="center" vertical="center"/>
      <protection hidden="1"/>
    </xf>
    <xf numFmtId="0" fontId="28" fillId="15" borderId="39" xfId="0" applyFont="1" applyFill="1" applyBorder="1" applyAlignment="1" applyProtection="1">
      <alignment horizontal="center" vertical="center"/>
      <protection hidden="1"/>
    </xf>
    <xf numFmtId="171" fontId="28" fillId="15" borderId="41" xfId="0" applyNumberFormat="1" applyFont="1" applyFill="1" applyBorder="1" applyAlignment="1" applyProtection="1">
      <alignment horizontal="center" vertical="center"/>
      <protection hidden="1"/>
    </xf>
    <xf numFmtId="171" fontId="28" fillId="15" borderId="1" xfId="0" applyNumberFormat="1" applyFont="1" applyFill="1" applyBorder="1" applyAlignment="1" applyProtection="1">
      <alignment horizontal="center" vertical="center"/>
      <protection hidden="1"/>
    </xf>
    <xf numFmtId="0" fontId="28" fillId="15" borderId="7" xfId="0" applyFont="1" applyFill="1" applyBorder="1" applyAlignment="1" applyProtection="1">
      <alignment horizontal="center" vertical="center"/>
      <protection hidden="1"/>
    </xf>
    <xf numFmtId="0" fontId="28" fillId="15" borderId="8" xfId="0" applyFont="1" applyFill="1" applyBorder="1" applyAlignment="1" applyProtection="1">
      <alignment horizontal="center" vertical="center"/>
      <protection hidden="1"/>
    </xf>
    <xf numFmtId="164" fontId="28" fillId="15" borderId="5" xfId="0" applyNumberFormat="1" applyFont="1" applyFill="1" applyBorder="1" applyAlignment="1" applyProtection="1">
      <alignment horizontal="center" vertical="center"/>
      <protection hidden="1"/>
    </xf>
    <xf numFmtId="0" fontId="28" fillId="15" borderId="1" xfId="0" applyFont="1" applyFill="1" applyBorder="1" applyAlignment="1" applyProtection="1">
      <alignment horizontal="center" vertical="center"/>
      <protection hidden="1"/>
    </xf>
    <xf numFmtId="171" fontId="28" fillId="15" borderId="4" xfId="0" applyNumberFormat="1" applyFont="1" applyFill="1" applyBorder="1" applyAlignment="1" applyProtection="1">
      <alignment horizontal="center" vertical="center"/>
      <protection hidden="1"/>
    </xf>
    <xf numFmtId="176" fontId="28" fillId="15" borderId="5" xfId="0" applyNumberFormat="1" applyFont="1" applyFill="1" applyBorder="1" applyAlignment="1" applyProtection="1">
      <alignment horizontal="center" vertical="center" wrapText="1"/>
      <protection hidden="1"/>
    </xf>
    <xf numFmtId="176" fontId="28" fillId="15" borderId="39" xfId="0" applyNumberFormat="1" applyFont="1" applyFill="1" applyBorder="1" applyAlignment="1" applyProtection="1">
      <alignment horizontal="center" vertical="center" wrapText="1"/>
      <protection hidden="1"/>
    </xf>
    <xf numFmtId="176" fontId="28" fillId="15" borderId="1" xfId="0" applyNumberFormat="1" applyFont="1" applyFill="1" applyBorder="1" applyAlignment="1" applyProtection="1">
      <alignment horizontal="center" vertical="center" wrapText="1"/>
      <protection hidden="1"/>
    </xf>
    <xf numFmtId="176" fontId="28" fillId="15" borderId="42" xfId="0" applyNumberFormat="1" applyFont="1" applyFill="1" applyBorder="1" applyAlignment="1" applyProtection="1">
      <alignment horizontal="center" vertical="center" wrapText="1"/>
      <protection hidden="1"/>
    </xf>
    <xf numFmtId="176" fontId="28" fillId="15" borderId="8" xfId="0" applyNumberFormat="1" applyFont="1" applyFill="1" applyBorder="1" applyAlignment="1" applyProtection="1">
      <alignment horizontal="center" vertical="center" wrapText="1"/>
      <protection hidden="1"/>
    </xf>
    <xf numFmtId="176" fontId="28" fillId="15" borderId="12" xfId="0" applyNumberFormat="1" applyFont="1" applyFill="1" applyBorder="1" applyAlignment="1" applyProtection="1">
      <alignment horizontal="center" vertical="center" wrapText="1"/>
      <protection hidden="1"/>
    </xf>
    <xf numFmtId="4" fontId="28" fillId="15" borderId="5" xfId="0" applyNumberFormat="1" applyFont="1" applyFill="1" applyBorder="1" applyAlignment="1" applyProtection="1">
      <alignment horizontal="center" vertical="center" wrapText="1"/>
      <protection hidden="1"/>
    </xf>
    <xf numFmtId="177" fontId="28" fillId="15" borderId="39" xfId="0" applyNumberFormat="1" applyFont="1" applyFill="1" applyBorder="1" applyAlignment="1" applyProtection="1">
      <alignment horizontal="center" vertical="center" wrapText="1"/>
      <protection hidden="1"/>
    </xf>
    <xf numFmtId="4" fontId="28" fillId="15" borderId="1" xfId="0" applyNumberFormat="1" applyFont="1" applyFill="1" applyBorder="1" applyAlignment="1" applyProtection="1">
      <alignment horizontal="center" vertical="center" wrapText="1"/>
      <protection hidden="1"/>
    </xf>
    <xf numFmtId="0" fontId="0" fillId="15" borderId="42" xfId="0" applyFill="1" applyBorder="1" applyAlignment="1" applyProtection="1">
      <alignment horizontal="center" vertical="center" wrapText="1"/>
      <protection hidden="1"/>
    </xf>
    <xf numFmtId="4" fontId="28" fillId="15" borderId="8" xfId="0" applyNumberFormat="1" applyFont="1" applyFill="1" applyBorder="1" applyAlignment="1" applyProtection="1">
      <alignment horizontal="center" vertical="center" wrapText="1"/>
      <protection hidden="1"/>
    </xf>
    <xf numFmtId="0" fontId="0" fillId="15" borderId="12" xfId="0" applyFill="1" applyBorder="1" applyAlignment="1" applyProtection="1">
      <alignment horizontal="center" vertical="center" wrapText="1"/>
      <protection hidden="1"/>
    </xf>
    <xf numFmtId="2" fontId="28" fillId="15" borderId="5" xfId="0" applyNumberFormat="1" applyFont="1" applyFill="1" applyBorder="1" applyAlignment="1" applyProtection="1">
      <alignment horizontal="center" vertical="center"/>
      <protection hidden="1"/>
    </xf>
    <xf numFmtId="0" fontId="28" fillId="15" borderId="39" xfId="0" applyFont="1" applyFill="1" applyBorder="1" applyAlignment="1" applyProtection="1">
      <alignment horizontal="center" vertical="center" wrapText="1"/>
      <protection hidden="1"/>
    </xf>
    <xf numFmtId="2" fontId="28" fillId="15" borderId="1" xfId="0" applyNumberFormat="1" applyFont="1" applyFill="1" applyBorder="1" applyAlignment="1" applyProtection="1">
      <alignment horizontal="center" vertical="center"/>
      <protection hidden="1"/>
    </xf>
    <xf numFmtId="2" fontId="28" fillId="15" borderId="8" xfId="0" applyNumberFormat="1" applyFont="1" applyFill="1" applyBorder="1" applyAlignment="1" applyProtection="1">
      <alignment horizontal="center" vertical="center"/>
      <protection hidden="1"/>
    </xf>
    <xf numFmtId="171" fontId="28" fillId="19" borderId="39" xfId="0" applyNumberFormat="1" applyFont="1" applyFill="1" applyBorder="1" applyAlignment="1" applyProtection="1">
      <alignment horizontal="center" vertical="center"/>
      <protection hidden="1"/>
    </xf>
    <xf numFmtId="171" fontId="28" fillId="19" borderId="42" xfId="0" applyNumberFormat="1" applyFont="1" applyFill="1" applyBorder="1" applyAlignment="1" applyProtection="1">
      <alignment horizontal="center" vertical="center"/>
      <protection hidden="1"/>
    </xf>
    <xf numFmtId="171" fontId="28" fillId="15" borderId="39" xfId="0" applyNumberFormat="1" applyFont="1" applyFill="1" applyBorder="1" applyAlignment="1" applyProtection="1">
      <alignment horizontal="center" vertical="center" wrapText="1"/>
      <protection hidden="1"/>
    </xf>
    <xf numFmtId="171" fontId="28" fillId="15" borderId="42" xfId="0" applyNumberFormat="1" applyFont="1" applyFill="1" applyBorder="1" applyAlignment="1" applyProtection="1">
      <alignment horizontal="center" vertical="center" wrapText="1"/>
      <protection hidden="1"/>
    </xf>
    <xf numFmtId="171" fontId="28" fillId="15" borderId="8" xfId="0" applyNumberFormat="1" applyFont="1" applyFill="1" applyBorder="1" applyAlignment="1" applyProtection="1">
      <alignment horizontal="center" vertical="center"/>
      <protection hidden="1"/>
    </xf>
    <xf numFmtId="171" fontId="0" fillId="15" borderId="12" xfId="0" applyNumberFormat="1" applyFill="1" applyBorder="1" applyAlignment="1" applyProtection="1">
      <alignment horizontal="center" vertical="center" wrapText="1"/>
      <protection hidden="1"/>
    </xf>
    <xf numFmtId="171" fontId="28" fillId="15" borderId="12" xfId="0" applyNumberFormat="1" applyFont="1" applyFill="1" applyBorder="1" applyAlignment="1" applyProtection="1">
      <alignment horizontal="center" vertical="center" wrapText="1"/>
      <protection hidden="1"/>
    </xf>
    <xf numFmtId="0" fontId="28" fillId="15" borderId="42" xfId="0" applyFont="1" applyFill="1" applyBorder="1" applyAlignment="1" applyProtection="1">
      <alignment horizontal="center" vertical="center" wrapText="1"/>
      <protection hidden="1"/>
    </xf>
    <xf numFmtId="0" fontId="28" fillId="15" borderId="12" xfId="0" applyFont="1" applyFill="1" applyBorder="1" applyAlignment="1" applyProtection="1">
      <alignment horizontal="center" vertical="center" wrapText="1"/>
      <protection hidden="1"/>
    </xf>
    <xf numFmtId="3" fontId="29" fillId="15" borderId="4" xfId="0" applyNumberFormat="1" applyFont="1" applyFill="1" applyBorder="1" applyAlignment="1" applyProtection="1">
      <alignment horizontal="center" vertical="center"/>
      <protection hidden="1"/>
    </xf>
    <xf numFmtId="3" fontId="29" fillId="15" borderId="5" xfId="0" applyNumberFormat="1" applyFont="1" applyFill="1" applyBorder="1" applyAlignment="1" applyProtection="1">
      <alignment horizontal="center" vertical="center" wrapText="1"/>
      <protection hidden="1"/>
    </xf>
    <xf numFmtId="168" fontId="29" fillId="15" borderId="5" xfId="0" applyNumberFormat="1" applyFont="1" applyFill="1" applyBorder="1" applyAlignment="1" applyProtection="1">
      <alignment horizontal="center" vertical="center" wrapText="1"/>
      <protection hidden="1"/>
    </xf>
    <xf numFmtId="0" fontId="29" fillId="15" borderId="5" xfId="0" applyFont="1" applyFill="1" applyBorder="1" applyAlignment="1" applyProtection="1">
      <alignment horizontal="center" vertical="center" wrapText="1"/>
      <protection hidden="1"/>
    </xf>
    <xf numFmtId="169" fontId="29" fillId="15" borderId="39" xfId="0" applyNumberFormat="1" applyFont="1" applyFill="1" applyBorder="1" applyAlignment="1" applyProtection="1">
      <alignment horizontal="center" vertical="center"/>
      <protection hidden="1"/>
    </xf>
    <xf numFmtId="3" fontId="29" fillId="15" borderId="41" xfId="0" applyNumberFormat="1" applyFont="1" applyFill="1" applyBorder="1" applyAlignment="1" applyProtection="1">
      <alignment horizontal="center" vertical="center"/>
      <protection hidden="1"/>
    </xf>
    <xf numFmtId="3" fontId="29" fillId="15" borderId="1" xfId="0" applyNumberFormat="1" applyFont="1" applyFill="1" applyBorder="1" applyAlignment="1" applyProtection="1">
      <alignment horizontal="center" vertical="center" wrapText="1"/>
      <protection hidden="1"/>
    </xf>
    <xf numFmtId="168" fontId="29" fillId="15" borderId="1" xfId="0" applyNumberFormat="1" applyFont="1" applyFill="1" applyBorder="1" applyAlignment="1" applyProtection="1">
      <alignment horizontal="center" vertical="center" wrapText="1"/>
      <protection hidden="1"/>
    </xf>
    <xf numFmtId="0" fontId="29" fillId="15" borderId="1" xfId="0" applyFont="1" applyFill="1" applyBorder="1" applyAlignment="1" applyProtection="1">
      <alignment horizontal="center" vertical="center" wrapText="1"/>
      <protection hidden="1"/>
    </xf>
    <xf numFmtId="169" fontId="29" fillId="15" borderId="42" xfId="0" applyNumberFormat="1" applyFont="1" applyFill="1" applyBorder="1" applyAlignment="1" applyProtection="1">
      <alignment horizontal="center" vertical="center"/>
      <protection hidden="1"/>
    </xf>
    <xf numFmtId="49" fontId="29" fillId="15" borderId="1" xfId="0" applyNumberFormat="1" applyFont="1" applyFill="1" applyBorder="1" applyAlignment="1" applyProtection="1">
      <alignment horizontal="center" vertical="center" wrapText="1"/>
      <protection hidden="1"/>
    </xf>
    <xf numFmtId="3" fontId="29" fillId="15" borderId="7" xfId="0" applyNumberFormat="1" applyFont="1" applyFill="1" applyBorder="1" applyAlignment="1" applyProtection="1">
      <alignment horizontal="center" vertical="center"/>
      <protection hidden="1"/>
    </xf>
    <xf numFmtId="3" fontId="29" fillId="15" borderId="8" xfId="0" applyNumberFormat="1" applyFont="1" applyFill="1" applyBorder="1" applyAlignment="1" applyProtection="1">
      <alignment horizontal="center" vertical="center"/>
      <protection hidden="1"/>
    </xf>
    <xf numFmtId="168" fontId="29" fillId="15" borderId="8" xfId="0" applyNumberFormat="1" applyFont="1" applyFill="1" applyBorder="1" applyAlignment="1" applyProtection="1">
      <alignment horizontal="center" vertical="center" wrapText="1"/>
      <protection hidden="1"/>
    </xf>
    <xf numFmtId="0" fontId="29" fillId="15" borderId="8" xfId="0" applyFont="1" applyFill="1" applyBorder="1" applyAlignment="1" applyProtection="1">
      <alignment horizontal="center" vertical="center" wrapText="1"/>
      <protection hidden="1"/>
    </xf>
    <xf numFmtId="169" fontId="29" fillId="15" borderId="12" xfId="0" applyNumberFormat="1" applyFont="1" applyFill="1" applyBorder="1" applyAlignment="1" applyProtection="1">
      <alignment horizontal="center" vertical="center"/>
      <protection hidden="1"/>
    </xf>
    <xf numFmtId="0" fontId="0" fillId="15" borderId="5" xfId="0" applyFill="1" applyBorder="1" applyAlignment="1" applyProtection="1">
      <alignment horizontal="center" vertical="center" wrapText="1"/>
      <protection hidden="1"/>
    </xf>
    <xf numFmtId="171" fontId="29" fillId="15" borderId="1" xfId="0" applyNumberFormat="1" applyFont="1" applyFill="1"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0" fontId="0" fillId="15" borderId="8" xfId="0" applyFill="1" applyBorder="1" applyAlignment="1" applyProtection="1">
      <alignment horizontal="center" vertical="center" wrapText="1"/>
      <protection hidden="1"/>
    </xf>
    <xf numFmtId="0" fontId="0" fillId="15" borderId="8" xfId="0" applyFill="1" applyBorder="1" applyAlignment="1" applyProtection="1">
      <alignment vertical="center" wrapText="1"/>
      <protection hidden="1"/>
    </xf>
    <xf numFmtId="176" fontId="0" fillId="15" borderId="1" xfId="0" applyNumberFormat="1" applyFill="1" applyBorder="1" applyAlignment="1" applyProtection="1">
      <alignment horizontal="center" vertical="center" wrapText="1"/>
      <protection hidden="1"/>
    </xf>
    <xf numFmtId="4" fontId="0" fillId="15" borderId="1" xfId="0" applyNumberFormat="1" applyFill="1" applyBorder="1" applyAlignment="1" applyProtection="1">
      <alignment horizontal="center" vertical="center" wrapText="1"/>
      <protection hidden="1"/>
    </xf>
    <xf numFmtId="0" fontId="29" fillId="15" borderId="20" xfId="0" applyFont="1" applyFill="1" applyBorder="1" applyAlignment="1" applyProtection="1">
      <alignment horizontal="center" vertical="center" wrapText="1"/>
      <protection hidden="1"/>
    </xf>
    <xf numFmtId="0" fontId="0" fillId="15" borderId="20" xfId="0" applyFill="1" applyBorder="1" applyAlignment="1" applyProtection="1">
      <alignment horizontal="center" vertical="center" wrapText="1"/>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hidden="1"/>
    </xf>
    <xf numFmtId="0" fontId="28" fillId="27" borderId="22" xfId="0" applyFont="1" applyFill="1" applyBorder="1" applyAlignment="1" applyProtection="1">
      <alignment horizontal="center" vertical="center"/>
      <protection hidden="1"/>
    </xf>
    <xf numFmtId="0" fontId="28" fillId="27" borderId="21" xfId="0" applyFont="1" applyFill="1" applyBorder="1" applyAlignment="1" applyProtection="1">
      <alignment horizontal="center" vertical="center"/>
      <protection hidden="1"/>
    </xf>
    <xf numFmtId="0" fontId="29" fillId="22" borderId="24" xfId="0" applyFont="1" applyFill="1" applyBorder="1" applyAlignment="1" applyProtection="1">
      <alignment horizontal="center" vertical="center" wrapText="1"/>
      <protection hidden="1"/>
    </xf>
    <xf numFmtId="0" fontId="29" fillId="22" borderId="22" xfId="0" applyFont="1" applyFill="1" applyBorder="1" applyAlignment="1" applyProtection="1">
      <alignment horizontal="center" vertical="center" wrapText="1"/>
      <protection hidden="1"/>
    </xf>
    <xf numFmtId="0" fontId="29" fillId="22" borderId="21" xfId="0" applyFont="1" applyFill="1" applyBorder="1" applyAlignment="1" applyProtection="1">
      <alignment horizontal="center" vertical="center" wrapText="1"/>
      <protection hidden="1"/>
    </xf>
    <xf numFmtId="2" fontId="9" fillId="2" borderId="35" xfId="0" applyNumberFormat="1" applyFont="1" applyFill="1" applyBorder="1" applyAlignment="1" applyProtection="1">
      <alignment horizontal="center" vertical="center" wrapText="1"/>
      <protection hidden="1"/>
    </xf>
    <xf numFmtId="0" fontId="29" fillId="2" borderId="0" xfId="0" applyFont="1" applyFill="1" applyAlignment="1" applyProtection="1">
      <alignment horizontal="justify" vertical="center" wrapText="1"/>
      <protection locked="0" hidden="1"/>
    </xf>
    <xf numFmtId="0" fontId="26" fillId="2" borderId="0" xfId="0" applyFont="1" applyFill="1" applyBorder="1" applyAlignment="1" applyProtection="1">
      <alignment horizontal="left"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29" fillId="2" borderId="0" xfId="0" applyFont="1" applyFill="1" applyAlignment="1">
      <alignment horizontal="justify" vertical="center" wrapText="1"/>
    </xf>
    <xf numFmtId="0" fontId="29" fillId="0" borderId="0" xfId="0" applyFont="1" applyAlignment="1" applyProtection="1">
      <alignment horizontal="center"/>
      <protection hidden="1"/>
    </xf>
    <xf numFmtId="0" fontId="26" fillId="0" borderId="0" xfId="0"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2" fontId="26" fillId="0" borderId="16"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right" vertical="center" wrapText="1"/>
      <protection hidden="1"/>
    </xf>
    <xf numFmtId="14" fontId="29" fillId="2" borderId="0" xfId="0" applyNumberFormat="1" applyFont="1" applyFill="1" applyBorder="1" applyAlignment="1" applyProtection="1">
      <alignment horizontal="left" vertical="center" wrapText="1"/>
      <protection hidden="1"/>
    </xf>
    <xf numFmtId="0" fontId="29" fillId="0" borderId="0" xfId="0" applyFont="1" applyAlignment="1" applyProtection="1">
      <alignment horizontal="center" vertical="justify" wrapText="1"/>
      <protection hidden="1"/>
    </xf>
    <xf numFmtId="0" fontId="29" fillId="2" borderId="0" xfId="0" applyFont="1" applyFill="1" applyBorder="1" applyAlignment="1" applyProtection="1">
      <alignment horizontal="justify" vertical="center" wrapText="1"/>
      <protection hidden="1"/>
    </xf>
    <xf numFmtId="0" fontId="29" fillId="0" borderId="0" xfId="0" applyFont="1" applyBorder="1" applyAlignment="1" applyProtection="1">
      <alignment horizontal="left" vertical="center" wrapText="1"/>
      <protection hidden="1"/>
    </xf>
    <xf numFmtId="0" fontId="29" fillId="2" borderId="0" xfId="0" applyFont="1" applyFill="1" applyBorder="1" applyProtection="1">
      <protection hidden="1"/>
    </xf>
    <xf numFmtId="2" fontId="26" fillId="2" borderId="0" xfId="0" applyNumberFormat="1" applyFont="1" applyFill="1" applyBorder="1" applyAlignment="1" applyProtection="1">
      <alignment horizontal="center" vertical="center" wrapText="1"/>
      <protection hidden="1"/>
    </xf>
    <xf numFmtId="0" fontId="29" fillId="2" borderId="0" xfId="0" applyFont="1" applyFill="1" applyBorder="1" applyAlignment="1" applyProtection="1">
      <protection hidden="1"/>
    </xf>
    <xf numFmtId="0" fontId="15" fillId="0" borderId="0" xfId="0" applyFont="1" applyFill="1" applyBorder="1" applyAlignment="1" applyProtection="1">
      <alignment horizontal="center" vertical="center"/>
      <protection hidden="1"/>
    </xf>
    <xf numFmtId="0" fontId="26" fillId="22" borderId="33" xfId="0" applyFont="1" applyFill="1" applyBorder="1" applyAlignment="1" applyProtection="1">
      <alignment horizontal="center" vertical="top" wrapText="1"/>
      <protection hidden="1"/>
    </xf>
    <xf numFmtId="0" fontId="26" fillId="22" borderId="56" xfId="0" applyFont="1" applyFill="1" applyBorder="1" applyAlignment="1" applyProtection="1">
      <alignment horizontal="center" vertical="top" wrapText="1"/>
      <protection hidden="1"/>
    </xf>
    <xf numFmtId="0" fontId="26" fillId="22" borderId="34" xfId="0" applyFont="1" applyFill="1" applyBorder="1" applyAlignment="1" applyProtection="1">
      <alignment horizontal="center" vertical="top" wrapText="1"/>
      <protection hidden="1"/>
    </xf>
    <xf numFmtId="0" fontId="29" fillId="0" borderId="0" xfId="0" applyFont="1" applyFill="1" applyBorder="1" applyAlignment="1" applyProtection="1">
      <protection hidden="1"/>
    </xf>
    <xf numFmtId="180" fontId="8" fillId="9" borderId="17" xfId="0" applyNumberFormat="1" applyFont="1" applyFill="1" applyBorder="1" applyAlignment="1" applyProtection="1">
      <alignment horizontal="centerContinuous" vertical="center" wrapText="1"/>
      <protection hidden="1"/>
    </xf>
    <xf numFmtId="1" fontId="9" fillId="13" borderId="16" xfId="3" applyNumberFormat="1" applyFont="1" applyBorder="1" applyAlignment="1" applyProtection="1">
      <alignment horizontal="center" vertical="center"/>
      <protection locked="0" hidden="1"/>
    </xf>
    <xf numFmtId="1" fontId="9" fillId="13" borderId="16" xfId="3" applyNumberFormat="1" applyFont="1" applyBorder="1" applyAlignment="1" applyProtection="1">
      <alignment horizontal="center" vertical="center" wrapText="1"/>
      <protection locked="0" hidden="1"/>
    </xf>
    <xf numFmtId="1" fontId="13" fillId="13" borderId="16" xfId="3" applyNumberFormat="1" applyFont="1" applyBorder="1" applyAlignment="1" applyProtection="1">
      <alignment horizontal="center" vertical="center" wrapText="1"/>
      <protection locked="0" hidden="1"/>
    </xf>
    <xf numFmtId="20" fontId="8" fillId="4" borderId="10" xfId="0" applyNumberFormat="1" applyFont="1" applyFill="1" applyBorder="1" applyAlignment="1" applyProtection="1">
      <alignment horizontal="center" vertical="center"/>
      <protection locked="0" hidden="1"/>
    </xf>
    <xf numFmtId="2" fontId="8" fillId="0" borderId="0" xfId="0" applyNumberFormat="1" applyFont="1" applyFill="1" applyAlignment="1" applyProtection="1">
      <alignment horizontal="center"/>
      <protection hidden="1"/>
    </xf>
    <xf numFmtId="2" fontId="8" fillId="0" borderId="0" xfId="0" applyNumberFormat="1" applyFont="1" applyFill="1" applyBorder="1" applyAlignment="1" applyProtection="1">
      <alignment horizontal="center"/>
      <protection hidden="1"/>
    </xf>
    <xf numFmtId="164" fontId="8" fillId="0" borderId="0" xfId="0" applyNumberFormat="1" applyFont="1" applyFill="1" applyAlignment="1" applyProtection="1">
      <alignment horizontal="center"/>
      <protection hidden="1"/>
    </xf>
    <xf numFmtId="169" fontId="10" fillId="9" borderId="39" xfId="0" applyNumberFormat="1" applyFont="1" applyFill="1" applyBorder="1" applyAlignment="1" applyProtection="1">
      <alignment horizontal="center" vertical="center"/>
      <protection hidden="1"/>
    </xf>
    <xf numFmtId="169" fontId="10" fillId="9" borderId="42"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wrapText="1"/>
      <protection hidden="1"/>
    </xf>
    <xf numFmtId="1" fontId="8" fillId="9" borderId="42" xfId="0" applyNumberFormat="1" applyFont="1" applyFill="1" applyBorder="1" applyAlignment="1" applyProtection="1">
      <alignment horizontal="center" vertical="center"/>
      <protection hidden="1"/>
    </xf>
    <xf numFmtId="0" fontId="29" fillId="2" borderId="0" xfId="0" applyFont="1" applyFill="1" applyAlignment="1" applyProtection="1">
      <alignment horizontal="justify" vertical="center" wrapText="1"/>
      <protection hidden="1"/>
    </xf>
    <xf numFmtId="0" fontId="26" fillId="2" borderId="36" xfId="0" applyFont="1" applyFill="1" applyBorder="1" applyAlignment="1" applyProtection="1">
      <alignment horizontal="justify" vertical="center" wrapText="1"/>
      <protection hidden="1"/>
    </xf>
    <xf numFmtId="2" fontId="42" fillId="0" borderId="0" xfId="0" applyNumberFormat="1" applyFont="1" applyAlignment="1">
      <alignment horizontal="center"/>
    </xf>
    <xf numFmtId="20" fontId="8" fillId="2" borderId="10" xfId="0" applyNumberFormat="1" applyFont="1" applyFill="1" applyBorder="1" applyAlignment="1" applyProtection="1">
      <alignment horizontal="center" vertical="center"/>
      <protection locked="0" hidden="1"/>
    </xf>
    <xf numFmtId="2" fontId="46" fillId="0" borderId="50" xfId="0" applyNumberFormat="1" applyFont="1" applyBorder="1" applyAlignment="1">
      <alignment horizontal="center" vertical="center"/>
    </xf>
    <xf numFmtId="2" fontId="8" fillId="2" borderId="0" xfId="0" applyNumberFormat="1" applyFont="1" applyFill="1" applyBorder="1" applyAlignment="1" applyProtection="1">
      <alignment horizontal="center" vertical="center" wrapText="1"/>
      <protection hidden="1"/>
    </xf>
    <xf numFmtId="1" fontId="8" fillId="2" borderId="0" xfId="0" applyNumberFormat="1" applyFont="1" applyFill="1" applyBorder="1" applyAlignment="1" applyProtection="1">
      <alignment horizontal="center" vertical="center"/>
      <protection hidden="1"/>
    </xf>
    <xf numFmtId="169" fontId="8" fillId="2" borderId="0" xfId="0" applyNumberFormat="1" applyFont="1" applyFill="1" applyBorder="1" applyAlignment="1" applyProtection="1">
      <alignment horizontal="center" vertical="center"/>
      <protection hidden="1"/>
    </xf>
    <xf numFmtId="164" fontId="8" fillId="2" borderId="0" xfId="0" applyNumberFormat="1" applyFont="1" applyFill="1" applyBorder="1" applyProtection="1">
      <protection hidden="1"/>
    </xf>
    <xf numFmtId="198" fontId="8" fillId="7" borderId="45" xfId="0" applyNumberFormat="1" applyFont="1" applyFill="1" applyBorder="1" applyAlignment="1" applyProtection="1">
      <alignment horizontal="center" vertical="center"/>
      <protection locked="0" hidden="1"/>
    </xf>
    <xf numFmtId="9" fontId="8" fillId="0" borderId="35" xfId="1" applyFont="1" applyFill="1" applyBorder="1" applyAlignment="1" applyProtection="1">
      <alignment horizontal="center" vertical="center"/>
      <protection hidden="1"/>
    </xf>
    <xf numFmtId="0" fontId="1" fillId="0" borderId="0" xfId="0" applyFont="1" applyProtection="1">
      <protection hidden="1"/>
    </xf>
    <xf numFmtId="0" fontId="1" fillId="0" borderId="0" xfId="0" applyFont="1" applyAlignment="1" applyProtection="1">
      <alignment vertical="center" wrapText="1"/>
      <protection hidden="1"/>
    </xf>
    <xf numFmtId="0" fontId="42" fillId="0" borderId="0" xfId="0" applyFont="1" applyAlignment="1" applyProtection="1">
      <alignment vertical="center"/>
      <protection hidden="1"/>
    </xf>
    <xf numFmtId="0" fontId="42" fillId="0" borderId="0" xfId="0" applyFont="1" applyAlignment="1" applyProtection="1">
      <alignment vertical="center" wrapText="1"/>
      <protection hidden="1"/>
    </xf>
    <xf numFmtId="0" fontId="1" fillId="0" borderId="0" xfId="0" applyFont="1" applyAlignment="1" applyProtection="1">
      <alignment horizontal="justify" vertical="center" wrapText="1"/>
      <protection hidden="1"/>
    </xf>
    <xf numFmtId="0" fontId="42" fillId="0" borderId="0" xfId="0" applyFont="1" applyAlignment="1" applyProtection="1">
      <alignment horizontal="center" vertical="center"/>
      <protection hidden="1"/>
    </xf>
    <xf numFmtId="0" fontId="42" fillId="0" borderId="0" xfId="0" applyFont="1" applyProtection="1">
      <protection hidden="1"/>
    </xf>
    <xf numFmtId="0" fontId="1" fillId="11" borderId="0" xfId="0" applyFont="1" applyFill="1" applyAlignment="1" applyProtection="1">
      <alignment horizontal="center"/>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vertical="center"/>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Alignment="1" applyProtection="1">
      <alignment horizontal="center" vertical="justify" wrapText="1"/>
      <protection hidden="1"/>
    </xf>
    <xf numFmtId="0" fontId="29" fillId="0" borderId="0" xfId="0" applyFont="1" applyBorder="1" applyAlignment="1" applyProtection="1">
      <alignment horizontal="left" vertical="center" wrapText="1"/>
      <protection hidden="1"/>
    </xf>
    <xf numFmtId="14" fontId="29" fillId="2" borderId="0" xfId="0" applyNumberFormat="1" applyFont="1" applyFill="1" applyBorder="1" applyAlignment="1" applyProtection="1">
      <alignment horizontal="left" vertical="center" wrapText="1"/>
      <protection hidden="1"/>
    </xf>
    <xf numFmtId="0" fontId="29" fillId="2" borderId="0" xfId="0" applyFont="1" applyFill="1" applyBorder="1" applyAlignment="1" applyProtection="1">
      <alignment horizontal="left" vertical="center" wrapText="1"/>
      <protection hidden="1"/>
    </xf>
    <xf numFmtId="0" fontId="26" fillId="2" borderId="0"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justify" vertical="center" wrapText="1"/>
      <protection hidden="1"/>
    </xf>
    <xf numFmtId="0" fontId="29" fillId="0" borderId="0" xfId="0" applyFont="1" applyAlignment="1" applyProtection="1">
      <alignment horizontal="center"/>
      <protection hidden="1"/>
    </xf>
    <xf numFmtId="0" fontId="26" fillId="2" borderId="0" xfId="0" applyFont="1" applyFill="1" applyAlignment="1" applyProtection="1">
      <alignment horizontal="left" vertical="center" wrapText="1"/>
      <protection hidden="1"/>
    </xf>
    <xf numFmtId="2" fontId="26" fillId="0" borderId="16"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horizontal="right" vertical="center" wrapText="1"/>
      <protection hidden="1"/>
    </xf>
    <xf numFmtId="0" fontId="29" fillId="2" borderId="0" xfId="0" applyFont="1" applyFill="1" applyAlignment="1">
      <alignment horizontal="justify" vertical="center" wrapText="1"/>
    </xf>
    <xf numFmtId="0" fontId="26"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wrapText="1"/>
      <protection hidden="1"/>
    </xf>
    <xf numFmtId="0" fontId="5" fillId="0" borderId="69" xfId="0" applyFont="1" applyBorder="1" applyAlignment="1">
      <alignment horizontal="center" vertical="center" wrapText="1"/>
    </xf>
    <xf numFmtId="0" fontId="5" fillId="0" borderId="65" xfId="0" applyFont="1" applyBorder="1" applyAlignment="1">
      <alignment horizontal="center" vertical="center" wrapText="1"/>
    </xf>
    <xf numFmtId="0" fontId="29" fillId="0" borderId="0" xfId="0" applyFont="1" applyAlignment="1" applyProtection="1">
      <protection hidden="1"/>
    </xf>
    <xf numFmtId="0" fontId="1" fillId="0" borderId="0" xfId="0" applyFont="1" applyAlignment="1" applyProtection="1">
      <alignment horizontal="center"/>
      <protection hidden="1"/>
    </xf>
    <xf numFmtId="0" fontId="42" fillId="0" borderId="0" xfId="0" applyFont="1" applyAlignment="1" applyProtection="1">
      <alignment horizontal="center" vertical="center" wrapText="1"/>
      <protection hidden="1"/>
    </xf>
    <xf numFmtId="0" fontId="42" fillId="0" borderId="0" xfId="0" applyFont="1" applyAlignment="1" applyProtection="1">
      <alignment horizontal="left" vertical="center"/>
      <protection hidden="1"/>
    </xf>
    <xf numFmtId="0" fontId="42" fillId="0" borderId="0" xfId="0" applyFont="1" applyAlignment="1" applyProtection="1">
      <alignment horizontal="left" vertical="center" wrapText="1"/>
      <protection hidden="1"/>
    </xf>
    <xf numFmtId="1" fontId="1" fillId="2" borderId="0" xfId="0" applyNumberFormat="1" applyFont="1" applyFill="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68" fontId="1" fillId="2" borderId="0" xfId="0" applyNumberFormat="1" applyFont="1" applyFill="1" applyAlignment="1" applyProtection="1">
      <alignment horizontal="left" vertical="center" wrapText="1"/>
      <protection hidden="1"/>
    </xf>
    <xf numFmtId="0" fontId="1" fillId="0" borderId="0" xfId="0" applyFont="1" applyAlignment="1" applyProtection="1">
      <alignment horizontal="left" vertical="center" wrapText="1"/>
      <protection hidden="1"/>
    </xf>
    <xf numFmtId="49" fontId="42" fillId="0" borderId="0" xfId="0" applyNumberFormat="1" applyFont="1" applyAlignment="1" applyProtection="1">
      <alignment horizontal="right"/>
      <protection hidden="1"/>
    </xf>
    <xf numFmtId="189" fontId="1" fillId="2" borderId="0" xfId="0" applyNumberFormat="1" applyFont="1" applyFill="1" applyAlignment="1" applyProtection="1">
      <alignment horizontal="left" vertical="center" wrapText="1"/>
      <protection hidden="1"/>
    </xf>
    <xf numFmtId="199" fontId="1" fillId="2" borderId="0" xfId="0" applyNumberFormat="1" applyFont="1" applyFill="1" applyAlignment="1" applyProtection="1">
      <alignment horizontal="left" vertical="center" wrapText="1"/>
      <protection hidden="1"/>
    </xf>
    <xf numFmtId="200" fontId="1" fillId="2" borderId="0" xfId="0" applyNumberFormat="1" applyFont="1" applyFill="1" applyAlignment="1" applyProtection="1">
      <alignment horizontal="left" vertical="center" wrapText="1"/>
      <protection hidden="1"/>
    </xf>
    <xf numFmtId="0" fontId="42" fillId="0" borderId="0" xfId="0" applyFont="1" applyBorder="1" applyAlignment="1" applyProtection="1">
      <alignment horizontal="center" vertical="center" wrapText="1"/>
      <protection hidden="1"/>
    </xf>
    <xf numFmtId="2" fontId="1" fillId="0" borderId="0" xfId="3" applyNumberFormat="1" applyFont="1" applyFill="1" applyBorder="1" applyAlignment="1" applyProtection="1">
      <alignment horizontal="left" vertical="center"/>
      <protection hidden="1"/>
    </xf>
    <xf numFmtId="0" fontId="29" fillId="2" borderId="0" xfId="0" applyFont="1" applyFill="1" applyBorder="1" applyAlignment="1" applyProtection="1">
      <alignment vertical="justify" wrapText="1" readingOrder="1"/>
      <protection hidden="1"/>
    </xf>
    <xf numFmtId="0" fontId="1" fillId="0" borderId="0" xfId="0" applyFont="1" applyAlignment="1"/>
    <xf numFmtId="186" fontId="26" fillId="0" borderId="16" xfId="0" applyNumberFormat="1" applyFont="1" applyBorder="1" applyAlignment="1" applyProtection="1">
      <alignment horizontal="center" vertical="center" wrapText="1"/>
      <protection hidden="1"/>
    </xf>
    <xf numFmtId="0" fontId="26" fillId="2" borderId="0" xfId="0" applyFont="1" applyFill="1" applyBorder="1" applyAlignment="1" applyProtection="1">
      <alignment horizontal="center" vertical="center" wrapText="1"/>
      <protection hidden="1"/>
    </xf>
    <xf numFmtId="186" fontId="26" fillId="2" borderId="16" xfId="0" applyNumberFormat="1" applyFont="1" applyFill="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185" fontId="29" fillId="0" borderId="39" xfId="0" applyNumberFormat="1" applyFont="1" applyBorder="1" applyAlignment="1" applyProtection="1">
      <alignment horizontal="center" vertical="center" wrapText="1"/>
      <protection hidden="1"/>
    </xf>
    <xf numFmtId="185" fontId="29" fillId="0" borderId="42" xfId="0" applyNumberFormat="1" applyFont="1" applyBorder="1" applyAlignment="1" applyProtection="1">
      <alignment horizontal="center" vertical="center" wrapText="1"/>
      <protection hidden="1"/>
    </xf>
    <xf numFmtId="185" fontId="29" fillId="0" borderId="8" xfId="0" applyNumberFormat="1" applyFont="1" applyBorder="1" applyAlignment="1" applyProtection="1">
      <alignment horizontal="center" vertical="center" wrapText="1"/>
      <protection hidden="1"/>
    </xf>
    <xf numFmtId="185" fontId="29" fillId="0" borderId="12" xfId="0" applyNumberFormat="1" applyFont="1" applyBorder="1" applyAlignment="1" applyProtection="1">
      <alignment horizontal="center" vertical="center" wrapText="1"/>
      <protection hidden="1"/>
    </xf>
    <xf numFmtId="2" fontId="26" fillId="2" borderId="35" xfId="0" applyNumberFormat="1" applyFont="1" applyFill="1" applyBorder="1" applyAlignment="1" applyProtection="1">
      <alignment horizontal="center" vertical="center" wrapText="1"/>
      <protection hidden="1"/>
    </xf>
    <xf numFmtId="171" fontId="29" fillId="2" borderId="20" xfId="0" applyNumberFormat="1" applyFont="1" applyFill="1" applyBorder="1" applyAlignment="1" applyProtection="1">
      <alignment horizontal="center" vertical="center"/>
      <protection hidden="1"/>
    </xf>
    <xf numFmtId="164" fontId="29" fillId="2" borderId="44" xfId="0" applyNumberFormat="1" applyFont="1" applyFill="1" applyBorder="1" applyAlignment="1" applyProtection="1">
      <alignment horizontal="center" vertical="center"/>
      <protection hidden="1"/>
    </xf>
    <xf numFmtId="164" fontId="29" fillId="2" borderId="42" xfId="0" applyNumberFormat="1" applyFont="1" applyFill="1" applyBorder="1" applyAlignment="1" applyProtection="1">
      <alignment horizontal="center" vertical="center"/>
      <protection hidden="1"/>
    </xf>
    <xf numFmtId="2" fontId="29" fillId="2" borderId="42" xfId="0" applyNumberFormat="1" applyFont="1" applyFill="1" applyBorder="1" applyAlignment="1" applyProtection="1">
      <alignment horizontal="center" vertical="center"/>
      <protection hidden="1"/>
    </xf>
    <xf numFmtId="2" fontId="29" fillId="2" borderId="12" xfId="0" applyNumberFormat="1" applyFont="1" applyFill="1" applyBorder="1" applyAlignment="1" applyProtection="1">
      <alignment horizontal="center" vertical="center"/>
      <protection hidden="1"/>
    </xf>
    <xf numFmtId="0" fontId="26" fillId="2" borderId="35" xfId="0" applyFont="1" applyFill="1" applyBorder="1" applyAlignment="1" applyProtection="1">
      <alignment horizontal="center" vertical="center" wrapText="1"/>
      <protection hidden="1"/>
    </xf>
    <xf numFmtId="0" fontId="26" fillId="0" borderId="35" xfId="0" applyFont="1" applyFill="1" applyBorder="1" applyAlignment="1" applyProtection="1">
      <alignment horizontal="center" vertical="center" wrapText="1"/>
      <protection hidden="1"/>
    </xf>
    <xf numFmtId="164" fontId="29" fillId="0" borderId="18" xfId="0" applyNumberFormat="1" applyFont="1" applyFill="1" applyBorder="1" applyAlignment="1" applyProtection="1">
      <alignment horizontal="center" vertical="center" wrapText="1"/>
      <protection hidden="1"/>
    </xf>
    <xf numFmtId="164" fontId="29" fillId="0" borderId="2" xfId="1" applyNumberFormat="1" applyFont="1" applyFill="1" applyBorder="1" applyAlignment="1" applyProtection="1">
      <alignment horizontal="center" vertical="center" wrapText="1"/>
      <protection hidden="1"/>
    </xf>
    <xf numFmtId="0" fontId="29" fillId="0" borderId="78" xfId="0" applyFont="1" applyFill="1" applyBorder="1" applyAlignment="1" applyProtection="1">
      <alignment horizontal="center" vertical="center"/>
      <protection hidden="1"/>
    </xf>
    <xf numFmtId="164" fontId="29" fillId="0" borderId="0" xfId="0" applyNumberFormat="1" applyFont="1" applyAlignment="1" applyProtection="1">
      <alignment horizontal="center" vertical="center"/>
      <protection hidden="1"/>
    </xf>
    <xf numFmtId="164" fontId="29" fillId="0" borderId="3" xfId="0" applyNumberFormat="1" applyFont="1" applyFill="1" applyBorder="1" applyAlignment="1" applyProtection="1">
      <alignment horizontal="center" vertical="center" wrapText="1"/>
      <protection hidden="1"/>
    </xf>
    <xf numFmtId="164" fontId="29" fillId="0" borderId="2" xfId="0" applyNumberFormat="1" applyFont="1" applyFill="1" applyBorder="1" applyAlignment="1" applyProtection="1">
      <alignment horizontal="center" vertical="center" wrapText="1"/>
      <protection hidden="1"/>
    </xf>
    <xf numFmtId="2" fontId="29" fillId="0" borderId="3" xfId="0" applyNumberFormat="1" applyFont="1" applyFill="1" applyBorder="1" applyAlignment="1" applyProtection="1">
      <alignment horizontal="center" vertical="center" wrapText="1"/>
      <protection hidden="1"/>
    </xf>
    <xf numFmtId="2" fontId="29" fillId="0" borderId="2" xfId="0" applyNumberFormat="1" applyFont="1" applyFill="1" applyBorder="1" applyAlignment="1" applyProtection="1">
      <alignment horizontal="center" vertical="center" wrapText="1"/>
      <protection hidden="1"/>
    </xf>
    <xf numFmtId="2" fontId="29" fillId="0" borderId="13" xfId="0" applyNumberFormat="1" applyFont="1" applyFill="1" applyBorder="1" applyAlignment="1" applyProtection="1">
      <alignment horizontal="center" vertical="center" wrapText="1"/>
      <protection hidden="1"/>
    </xf>
    <xf numFmtId="2" fontId="29" fillId="0" borderId="37" xfId="0" applyNumberFormat="1" applyFont="1" applyFill="1" applyBorder="1" applyAlignment="1" applyProtection="1">
      <alignment horizontal="center" vertical="center" wrapText="1"/>
      <protection hidden="1"/>
    </xf>
    <xf numFmtId="173" fontId="29" fillId="0" borderId="0" xfId="0" applyNumberFormat="1" applyFont="1" applyAlignment="1" applyProtection="1">
      <alignment horizontal="center" vertical="center"/>
      <protection hidden="1"/>
    </xf>
    <xf numFmtId="185" fontId="29" fillId="2" borderId="0" xfId="0" applyNumberFormat="1" applyFont="1" applyFill="1" applyBorder="1" applyAlignment="1" applyProtection="1">
      <alignment horizontal="center" vertical="center" wrapText="1"/>
      <protection hidden="1"/>
    </xf>
    <xf numFmtId="2" fontId="29" fillId="0" borderId="0"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protection hidden="1"/>
    </xf>
    <xf numFmtId="2" fontId="26" fillId="0" borderId="0" xfId="0" applyNumberFormat="1" applyFont="1" applyBorder="1" applyAlignment="1" applyProtection="1">
      <alignment vertical="center" wrapText="1"/>
      <protection hidden="1"/>
    </xf>
    <xf numFmtId="0" fontId="39" fillId="0" borderId="0" xfId="0" applyFont="1" applyFill="1" applyAlignment="1">
      <alignment vertical="center" wrapText="1"/>
    </xf>
    <xf numFmtId="0" fontId="39" fillId="2" borderId="0" xfId="0" applyFont="1" applyFill="1" applyAlignment="1">
      <alignment vertical="center" wrapText="1"/>
    </xf>
    <xf numFmtId="9" fontId="9" fillId="9" borderId="35" xfId="1" applyNumberFormat="1" applyFont="1" applyFill="1" applyBorder="1" applyAlignment="1" applyProtection="1">
      <alignment horizontal="center" vertical="center"/>
      <protection hidden="1"/>
    </xf>
    <xf numFmtId="0" fontId="7" fillId="0" borderId="0" xfId="0" applyFont="1" applyAlignment="1">
      <alignment horizontal="left" vertical="center"/>
    </xf>
    <xf numFmtId="0" fontId="0" fillId="0" borderId="0" xfId="0" applyAlignment="1">
      <alignment horizontal="left" vertical="center"/>
    </xf>
    <xf numFmtId="2" fontId="14" fillId="0" borderId="0" xfId="0" applyNumberFormat="1" applyFont="1" applyBorder="1" applyAlignment="1" applyProtection="1">
      <alignment horizontal="left" vertical="center"/>
      <protection hidden="1"/>
    </xf>
    <xf numFmtId="0" fontId="7" fillId="0" borderId="0" xfId="0" applyFont="1" applyAlignment="1"/>
    <xf numFmtId="0" fontId="8" fillId="9" borderId="4" xfId="0" applyFont="1" applyFill="1" applyBorder="1" applyAlignment="1" applyProtection="1">
      <alignment horizontal="center" vertical="center"/>
      <protection hidden="1"/>
    </xf>
    <xf numFmtId="202" fontId="8" fillId="9" borderId="5" xfId="0" applyNumberFormat="1" applyFont="1" applyFill="1" applyBorder="1" applyAlignment="1" applyProtection="1">
      <alignment horizontal="center" vertical="center"/>
      <protection hidden="1"/>
    </xf>
    <xf numFmtId="164" fontId="8" fillId="9" borderId="5" xfId="0" applyNumberFormat="1" applyFont="1" applyFill="1" applyBorder="1" applyAlignment="1" applyProtection="1">
      <alignment horizontal="center" vertical="center"/>
      <protection hidden="1"/>
    </xf>
    <xf numFmtId="0" fontId="8" fillId="9" borderId="39" xfId="0" applyFont="1" applyFill="1" applyBorder="1" applyAlignment="1" applyProtection="1">
      <alignment horizontal="center" vertical="center"/>
      <protection hidden="1"/>
    </xf>
    <xf numFmtId="2" fontId="9" fillId="29" borderId="31" xfId="2" applyNumberFormat="1" applyFont="1" applyFill="1" applyBorder="1" applyAlignment="1" applyProtection="1">
      <protection hidden="1"/>
    </xf>
    <xf numFmtId="0" fontId="26" fillId="2" borderId="0" xfId="0" applyFont="1" applyFill="1" applyBorder="1" applyAlignment="1" applyProtection="1">
      <alignment horizontal="left" vertical="center" wrapText="1"/>
      <protection hidden="1"/>
    </xf>
    <xf numFmtId="0" fontId="29" fillId="2" borderId="0" xfId="0" applyFont="1" applyFill="1" applyAlignment="1">
      <alignment horizontal="justify" vertical="center" wrapText="1"/>
    </xf>
    <xf numFmtId="0" fontId="1" fillId="0" borderId="0" xfId="0" applyFont="1" applyAlignment="1" applyProtection="1">
      <alignment horizontal="center"/>
      <protection hidden="1"/>
    </xf>
    <xf numFmtId="0" fontId="1" fillId="0" borderId="0" xfId="0" applyFont="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42" fillId="0" borderId="0" xfId="0" applyFont="1" applyAlignment="1" applyProtection="1">
      <alignment horizontal="left" vertical="center"/>
      <protection hidden="1"/>
    </xf>
    <xf numFmtId="167" fontId="9" fillId="9" borderId="35" xfId="0" applyNumberFormat="1" applyFont="1" applyFill="1" applyBorder="1" applyAlignment="1" applyProtection="1">
      <alignment horizontal="center" vertical="center"/>
      <protection hidden="1"/>
    </xf>
    <xf numFmtId="165" fontId="9" fillId="9" borderId="35" xfId="0" applyNumberFormat="1" applyFont="1" applyFill="1" applyBorder="1" applyAlignment="1" applyProtection="1">
      <alignment horizontal="center" vertical="center"/>
      <protection hidden="1"/>
    </xf>
    <xf numFmtId="2" fontId="8" fillId="9" borderId="35" xfId="0" applyNumberFormat="1" applyFont="1" applyFill="1" applyBorder="1" applyAlignment="1" applyProtection="1">
      <alignment horizontal="center" vertical="center"/>
      <protection hidden="1"/>
    </xf>
    <xf numFmtId="169" fontId="10" fillId="9" borderId="45" xfId="0" applyNumberFormat="1" applyFont="1" applyFill="1" applyBorder="1" applyAlignment="1" applyProtection="1">
      <alignment horizontal="center" vertical="center"/>
      <protection hidden="1"/>
    </xf>
    <xf numFmtId="169" fontId="10" fillId="9" borderId="32" xfId="0" applyNumberFormat="1" applyFont="1" applyFill="1" applyBorder="1" applyAlignment="1" applyProtection="1">
      <alignment horizontal="center" vertical="center"/>
      <protection hidden="1"/>
    </xf>
    <xf numFmtId="169" fontId="10" fillId="9" borderId="46" xfId="0" applyNumberFormat="1" applyFont="1" applyFill="1" applyBorder="1" applyAlignment="1" applyProtection="1">
      <alignment horizontal="center" vertical="center"/>
      <protection hidden="1"/>
    </xf>
    <xf numFmtId="169" fontId="10" fillId="9" borderId="35" xfId="0" applyNumberFormat="1" applyFont="1" applyFill="1" applyBorder="1" applyAlignment="1" applyProtection="1">
      <alignment horizontal="center" vertical="center"/>
      <protection hidden="1"/>
    </xf>
    <xf numFmtId="0" fontId="54" fillId="0" borderId="48" xfId="0" applyFont="1" applyBorder="1" applyAlignment="1">
      <alignment horizontal="center" vertical="center"/>
    </xf>
    <xf numFmtId="2" fontId="8" fillId="6" borderId="73" xfId="0" applyNumberFormat="1" applyFont="1" applyFill="1" applyBorder="1" applyAlignment="1" applyProtection="1">
      <alignment vertical="center" wrapText="1"/>
      <protection hidden="1"/>
    </xf>
    <xf numFmtId="2" fontId="8" fillId="6" borderId="10" xfId="0" applyNumberFormat="1" applyFont="1" applyFill="1" applyBorder="1" applyAlignment="1" applyProtection="1">
      <alignment vertical="center"/>
      <protection hidden="1"/>
    </xf>
    <xf numFmtId="2" fontId="8" fillId="6" borderId="11" xfId="0" applyNumberFormat="1" applyFont="1" applyFill="1" applyBorder="1" applyAlignment="1" applyProtection="1">
      <alignment vertical="center"/>
      <protection hidden="1"/>
    </xf>
    <xf numFmtId="180" fontId="62" fillId="0" borderId="9" xfId="0" applyNumberFormat="1" applyFont="1" applyBorder="1" applyAlignment="1">
      <alignment horizontal="center" vertical="center"/>
    </xf>
    <xf numFmtId="0" fontId="62" fillId="0" borderId="47" xfId="0" applyFont="1" applyBorder="1" applyAlignment="1">
      <alignment horizontal="center" vertical="center"/>
    </xf>
    <xf numFmtId="170" fontId="62" fillId="0" borderId="35" xfId="0" applyNumberFormat="1" applyFont="1" applyBorder="1" applyAlignment="1">
      <alignment horizontal="center" vertical="center"/>
    </xf>
    <xf numFmtId="0" fontId="33" fillId="0" borderId="41" xfId="0" applyFont="1" applyBorder="1" applyAlignment="1">
      <alignment horizontal="center" vertical="center"/>
    </xf>
    <xf numFmtId="171" fontId="33" fillId="0" borderId="2" xfId="0" applyNumberFormat="1" applyFont="1" applyBorder="1" applyAlignment="1">
      <alignment horizontal="center" vertical="center"/>
    </xf>
    <xf numFmtId="180" fontId="33" fillId="0" borderId="41" xfId="0" applyNumberFormat="1" applyFont="1" applyBorder="1" applyAlignment="1">
      <alignment horizontal="center" vertical="center"/>
    </xf>
    <xf numFmtId="0" fontId="33" fillId="0" borderId="2" xfId="0" applyFont="1" applyBorder="1" applyAlignment="1">
      <alignment horizontal="center" vertical="center"/>
    </xf>
    <xf numFmtId="180" fontId="33" fillId="0" borderId="7" xfId="0" applyNumberFormat="1" applyFont="1" applyBorder="1" applyAlignment="1">
      <alignment horizontal="center" vertical="center"/>
    </xf>
    <xf numFmtId="0" fontId="33" fillId="0" borderId="37" xfId="0" applyFont="1" applyBorder="1" applyAlignment="1">
      <alignment horizontal="center" vertical="center"/>
    </xf>
    <xf numFmtId="2" fontId="9" fillId="2" borderId="10" xfId="0" applyNumberFormat="1" applyFont="1" applyFill="1" applyBorder="1" applyAlignment="1" applyProtection="1">
      <alignment horizontal="center" vertical="center" wrapText="1"/>
      <protection hidden="1"/>
    </xf>
    <xf numFmtId="2" fontId="9" fillId="2" borderId="11" xfId="0" applyNumberFormat="1" applyFont="1" applyFill="1" applyBorder="1" applyAlignment="1" applyProtection="1">
      <alignment horizontal="center" vertical="center" wrapText="1"/>
      <protection hidden="1"/>
    </xf>
    <xf numFmtId="168" fontId="29" fillId="0" borderId="0" xfId="0" applyNumberFormat="1" applyFont="1" applyAlignment="1" applyProtection="1">
      <alignment horizontal="left" vertical="center" wrapText="1"/>
      <protection hidden="1"/>
    </xf>
    <xf numFmtId="2" fontId="14" fillId="2" borderId="20" xfId="0" applyNumberFormat="1" applyFont="1" applyFill="1" applyBorder="1" applyAlignment="1" applyProtection="1">
      <alignment horizontal="center" vertical="center" wrapText="1"/>
      <protection hidden="1"/>
    </xf>
    <xf numFmtId="1" fontId="14" fillId="2" borderId="44" xfId="0" applyNumberFormat="1" applyFont="1" applyFill="1" applyBorder="1" applyAlignment="1" applyProtection="1">
      <alignment horizontal="center" vertical="center" wrapText="1"/>
      <protection hidden="1"/>
    </xf>
    <xf numFmtId="194" fontId="14" fillId="2" borderId="8" xfId="0" applyNumberFormat="1" applyFont="1" applyFill="1" applyBorder="1" applyAlignment="1" applyProtection="1">
      <alignment horizontal="center" vertical="center" wrapText="1"/>
      <protection hidden="1"/>
    </xf>
    <xf numFmtId="1" fontId="14" fillId="2" borderId="12" xfId="0" applyNumberFormat="1" applyFont="1" applyFill="1" applyBorder="1" applyAlignment="1" applyProtection="1">
      <alignment horizontal="center" vertical="center" wrapText="1"/>
      <protection hidden="1"/>
    </xf>
    <xf numFmtId="168" fontId="29" fillId="0" borderId="0" xfId="0" applyNumberFormat="1" applyFont="1" applyAlignment="1" applyProtection="1">
      <alignment horizontal="left" vertical="center"/>
      <protection hidden="1"/>
    </xf>
    <xf numFmtId="2" fontId="15" fillId="2" borderId="20" xfId="0" applyNumberFormat="1" applyFont="1" applyFill="1" applyBorder="1" applyAlignment="1" applyProtection="1">
      <alignment horizontal="center" vertical="center" wrapText="1"/>
      <protection hidden="1"/>
    </xf>
    <xf numFmtId="1" fontId="15" fillId="2" borderId="44" xfId="0" applyNumberFormat="1" applyFont="1" applyFill="1" applyBorder="1" applyAlignment="1" applyProtection="1">
      <alignment horizontal="center" vertical="center" wrapText="1"/>
      <protection hidden="1"/>
    </xf>
    <xf numFmtId="194" fontId="15" fillId="2" borderId="8" xfId="0" applyNumberFormat="1" applyFont="1" applyFill="1" applyBorder="1" applyAlignment="1" applyProtection="1">
      <alignment horizontal="center" vertical="center" wrapText="1"/>
      <protection hidden="1"/>
    </xf>
    <xf numFmtId="1" fontId="15" fillId="2" borderId="12" xfId="0" applyNumberFormat="1" applyFont="1" applyFill="1" applyBorder="1" applyAlignment="1" applyProtection="1">
      <alignment horizontal="center" vertical="center" wrapText="1"/>
      <protection hidden="1"/>
    </xf>
    <xf numFmtId="0" fontId="44" fillId="2" borderId="0" xfId="0" applyFont="1" applyFill="1" applyAlignment="1" applyProtection="1">
      <alignment horizontal="center" vertical="center"/>
      <protection hidden="1"/>
    </xf>
    <xf numFmtId="0" fontId="44" fillId="2" borderId="0" xfId="0" applyFont="1" applyFill="1" applyAlignment="1" applyProtection="1">
      <alignment horizontal="center" vertical="center"/>
      <protection locked="0" hidden="1"/>
    </xf>
    <xf numFmtId="0" fontId="44" fillId="2" borderId="0" xfId="0" applyFont="1" applyFill="1" applyAlignment="1" applyProtection="1">
      <alignment horizontal="left" vertical="center"/>
      <protection hidden="1"/>
    </xf>
    <xf numFmtId="0" fontId="1" fillId="0" borderId="0" xfId="0" applyFont="1" applyAlignment="1" applyProtection="1">
      <protection hidden="1"/>
    </xf>
    <xf numFmtId="0" fontId="1" fillId="0" borderId="0" xfId="0" applyFont="1" applyAlignment="1" applyProtection="1">
      <alignment horizontal="right" vertical="center"/>
      <protection hidden="1"/>
    </xf>
    <xf numFmtId="14" fontId="1" fillId="0" borderId="0" xfId="0" applyNumberFormat="1" applyFont="1" applyAlignment="1" applyProtection="1">
      <alignment horizontal="left" vertical="center"/>
      <protection hidden="1"/>
    </xf>
    <xf numFmtId="168" fontId="1" fillId="2" borderId="0" xfId="0" applyNumberFormat="1" applyFont="1" applyFill="1" applyAlignment="1" applyProtection="1">
      <alignment vertical="center" wrapText="1"/>
      <protection hidden="1"/>
    </xf>
    <xf numFmtId="0" fontId="1" fillId="0" borderId="0" xfId="0" applyFont="1" applyBorder="1" applyAlignment="1" applyProtection="1">
      <protection hidden="1"/>
    </xf>
    <xf numFmtId="0" fontId="42" fillId="0" borderId="0" xfId="0" applyFont="1" applyBorder="1" applyAlignment="1" applyProtection="1">
      <protection hidden="1"/>
    </xf>
    <xf numFmtId="0" fontId="42" fillId="0" borderId="0" xfId="0" applyFont="1" applyBorder="1" applyAlignment="1" applyProtection="1">
      <alignment vertical="center" wrapText="1"/>
      <protection hidden="1"/>
    </xf>
    <xf numFmtId="0" fontId="0" fillId="0" borderId="0" xfId="0" applyAlignment="1">
      <alignment vertical="center" wrapText="1"/>
    </xf>
    <xf numFmtId="14" fontId="1" fillId="0" borderId="0" xfId="0" applyNumberFormat="1" applyFont="1" applyAlignment="1" applyProtection="1">
      <alignment horizontal="left" vertical="center" wrapText="1"/>
      <protection hidden="1"/>
    </xf>
    <xf numFmtId="0" fontId="42" fillId="0" borderId="0" xfId="0" applyFont="1" applyAlignment="1" applyProtection="1">
      <alignment horizontal="right" vertical="center" wrapText="1"/>
      <protection hidden="1"/>
    </xf>
    <xf numFmtId="14" fontId="42" fillId="0" borderId="0" xfId="0" applyNumberFormat="1" applyFont="1" applyAlignment="1" applyProtection="1">
      <alignment horizontal="left" vertical="center" wrapText="1"/>
      <protection hidden="1"/>
    </xf>
    <xf numFmtId="0" fontId="76" fillId="0" borderId="0" xfId="0" applyFont="1" applyAlignment="1" applyProtection="1">
      <alignment horizontal="center" vertical="center" wrapText="1"/>
      <protection hidden="1"/>
    </xf>
    <xf numFmtId="186" fontId="8" fillId="26" borderId="41" xfId="3" applyNumberFormat="1" applyFont="1" applyFill="1" applyBorder="1" applyAlignment="1" applyProtection="1">
      <alignment horizontal="center" vertical="center"/>
      <protection locked="0" hidden="1"/>
    </xf>
    <xf numFmtId="2" fontId="29" fillId="13" borderId="0" xfId="3" applyFont="1" applyBorder="1" applyAlignment="1">
      <alignment horizontal="center" vertical="center" wrapText="1"/>
      <protection locked="0"/>
    </xf>
    <xf numFmtId="2" fontId="25" fillId="3" borderId="16" xfId="0" applyNumberFormat="1" applyFont="1" applyFill="1" applyBorder="1" applyAlignment="1" applyProtection="1">
      <alignment horizontal="center" vertical="center" wrapText="1"/>
      <protection hidden="1"/>
    </xf>
    <xf numFmtId="0" fontId="62" fillId="0" borderId="0" xfId="0" applyFont="1" applyBorder="1" applyAlignment="1">
      <alignment horizontal="center" vertical="center"/>
    </xf>
    <xf numFmtId="2" fontId="13" fillId="6" borderId="56" xfId="0" applyNumberFormat="1" applyFont="1" applyFill="1" applyBorder="1" applyAlignment="1" applyProtection="1">
      <alignment horizontal="center" vertical="top"/>
      <protection hidden="1"/>
    </xf>
    <xf numFmtId="164" fontId="13" fillId="9" borderId="39" xfId="0" applyNumberFormat="1" applyFont="1" applyFill="1" applyBorder="1" applyAlignment="1" applyProtection="1">
      <alignment horizontal="center" vertical="center"/>
      <protection hidden="1"/>
    </xf>
    <xf numFmtId="164" fontId="13" fillId="9" borderId="42" xfId="0" applyNumberFormat="1" applyFont="1" applyFill="1" applyBorder="1" applyAlignment="1" applyProtection="1">
      <alignment horizontal="center" vertical="center"/>
      <protection hidden="1"/>
    </xf>
    <xf numFmtId="164" fontId="13" fillId="9" borderId="12" xfId="0" applyNumberFormat="1" applyFont="1" applyFill="1" applyBorder="1" applyAlignment="1" applyProtection="1">
      <alignment horizontal="center" vertical="center"/>
      <protection hidden="1"/>
    </xf>
    <xf numFmtId="2" fontId="9" fillId="9" borderId="9" xfId="0" applyNumberFormat="1" applyFont="1" applyFill="1" applyBorder="1" applyAlignment="1" applyProtection="1">
      <alignment horizontal="center" vertical="center"/>
      <protection hidden="1"/>
    </xf>
    <xf numFmtId="2" fontId="9" fillId="9" borderId="35" xfId="0" applyNumberFormat="1" applyFont="1" applyFill="1" applyBorder="1" applyAlignment="1" applyProtection="1">
      <alignment horizontal="center" vertical="center"/>
      <protection hidden="1"/>
    </xf>
    <xf numFmtId="2" fontId="10" fillId="9" borderId="34" xfId="0" applyNumberFormat="1" applyFont="1" applyFill="1" applyBorder="1" applyAlignment="1" applyProtection="1">
      <alignment horizontal="center" vertical="center"/>
      <protection hidden="1"/>
    </xf>
    <xf numFmtId="2" fontId="10" fillId="9" borderId="4" xfId="0" applyNumberFormat="1" applyFont="1" applyFill="1" applyBorder="1" applyAlignment="1" applyProtection="1">
      <alignment horizontal="center" vertical="center"/>
      <protection hidden="1"/>
    </xf>
    <xf numFmtId="2" fontId="10" fillId="9" borderId="41" xfId="0" applyNumberFormat="1" applyFont="1" applyFill="1" applyBorder="1" applyAlignment="1" applyProtection="1">
      <alignment horizontal="center" vertical="center"/>
      <protection hidden="1"/>
    </xf>
    <xf numFmtId="2" fontId="10" fillId="9" borderId="7" xfId="0" applyNumberFormat="1" applyFont="1" applyFill="1" applyBorder="1" applyAlignment="1" applyProtection="1">
      <alignment horizontal="center" vertical="center"/>
      <protection hidden="1"/>
    </xf>
    <xf numFmtId="2" fontId="25" fillId="8" borderId="9" xfId="0" applyNumberFormat="1" applyFont="1" applyFill="1" applyBorder="1" applyAlignment="1" applyProtection="1">
      <alignment horizontal="center" vertical="center"/>
      <protection hidden="1"/>
    </xf>
    <xf numFmtId="2" fontId="25" fillId="3" borderId="11" xfId="0" applyNumberFormat="1" applyFont="1" applyFill="1" applyBorder="1" applyAlignment="1" applyProtection="1">
      <alignment horizontal="center" vertical="center" wrapText="1"/>
      <protection hidden="1"/>
    </xf>
    <xf numFmtId="169" fontId="13" fillId="9" borderId="41" xfId="0" applyNumberFormat="1" applyFont="1" applyFill="1" applyBorder="1" applyAlignment="1" applyProtection="1">
      <alignment horizontal="center" vertical="center"/>
      <protection hidden="1"/>
    </xf>
    <xf numFmtId="169" fontId="13" fillId="9" borderId="1" xfId="0" applyNumberFormat="1" applyFont="1" applyFill="1" applyBorder="1" applyAlignment="1" applyProtection="1">
      <alignment horizontal="center" vertical="center"/>
      <protection hidden="1"/>
    </xf>
    <xf numFmtId="169" fontId="13" fillId="9" borderId="42" xfId="0" applyNumberFormat="1" applyFont="1" applyFill="1" applyBorder="1" applyAlignment="1" applyProtection="1">
      <alignment horizontal="center" vertical="center"/>
      <protection hidden="1"/>
    </xf>
    <xf numFmtId="2" fontId="13" fillId="9" borderId="41" xfId="0" applyNumberFormat="1" applyFont="1" applyFill="1" applyBorder="1" applyAlignment="1" applyProtection="1">
      <alignment horizontal="center" vertical="center"/>
      <protection hidden="1"/>
    </xf>
    <xf numFmtId="1" fontId="13" fillId="9" borderId="1" xfId="0" applyNumberFormat="1" applyFont="1" applyFill="1" applyBorder="1" applyAlignment="1" applyProtection="1">
      <alignment horizontal="center" vertical="center"/>
      <protection hidden="1"/>
    </xf>
    <xf numFmtId="9" fontId="13" fillId="9" borderId="42" xfId="1" applyFont="1" applyFill="1" applyBorder="1" applyAlignment="1" applyProtection="1">
      <alignment horizontal="center" vertical="center"/>
      <protection hidden="1"/>
    </xf>
    <xf numFmtId="171" fontId="77" fillId="3" borderId="48" xfId="0" applyNumberFormat="1" applyFont="1" applyFill="1" applyBorder="1" applyAlignment="1" applyProtection="1">
      <alignment horizontal="center" vertical="center"/>
      <protection hidden="1"/>
    </xf>
    <xf numFmtId="171" fontId="77" fillId="3" borderId="49" xfId="0" applyNumberFormat="1" applyFont="1" applyFill="1" applyBorder="1" applyAlignment="1" applyProtection="1">
      <alignment horizontal="center" vertical="center"/>
      <protection hidden="1"/>
    </xf>
    <xf numFmtId="171" fontId="77" fillId="3" borderId="50" xfId="0" applyNumberFormat="1" applyFont="1" applyFill="1" applyBorder="1" applyAlignment="1" applyProtection="1">
      <alignment horizontal="center" vertical="center"/>
      <protection hidden="1"/>
    </xf>
    <xf numFmtId="0" fontId="42" fillId="2" borderId="33" xfId="0" applyFont="1" applyFill="1" applyBorder="1" applyAlignment="1" applyProtection="1">
      <alignment horizontal="center" vertical="center"/>
      <protection hidden="1"/>
    </xf>
    <xf numFmtId="0" fontId="42" fillId="2" borderId="31" xfId="0" applyFont="1" applyFill="1" applyBorder="1" applyAlignment="1" applyProtection="1">
      <alignment horizontal="center" vertical="center"/>
      <protection hidden="1"/>
    </xf>
    <xf numFmtId="0" fontId="42" fillId="2" borderId="23" xfId="0" applyFont="1" applyFill="1" applyBorder="1" applyAlignment="1" applyProtection="1">
      <alignment horizontal="center" vertical="center"/>
      <protection hidden="1"/>
    </xf>
    <xf numFmtId="171" fontId="1" fillId="2" borderId="35" xfId="0" applyNumberFormat="1" applyFont="1" applyFill="1" applyBorder="1" applyAlignment="1" applyProtection="1">
      <alignment horizontal="center" vertical="center"/>
      <protection hidden="1"/>
    </xf>
    <xf numFmtId="171" fontId="1" fillId="2" borderId="15" xfId="0" applyNumberFormat="1" applyFont="1" applyFill="1" applyBorder="1" applyAlignment="1" applyProtection="1">
      <alignment horizontal="center" vertical="center"/>
      <protection hidden="1"/>
    </xf>
    <xf numFmtId="171" fontId="1" fillId="2" borderId="16" xfId="0" applyNumberFormat="1" applyFont="1" applyFill="1" applyBorder="1" applyAlignment="1" applyProtection="1">
      <alignment horizontal="center" vertical="center"/>
      <protection hidden="1"/>
    </xf>
    <xf numFmtId="0" fontId="29" fillId="0" borderId="35" xfId="0" applyFont="1" applyBorder="1" applyAlignment="1" applyProtection="1">
      <alignment horizontal="center"/>
      <protection hidden="1"/>
    </xf>
    <xf numFmtId="0" fontId="72" fillId="0" borderId="14" xfId="0" applyFont="1" applyBorder="1" applyAlignment="1" applyProtection="1">
      <alignment horizontal="center" vertical="center" wrapText="1"/>
      <protection hidden="1"/>
    </xf>
    <xf numFmtId="0" fontId="72" fillId="0" borderId="15" xfId="0" applyFont="1" applyBorder="1" applyAlignment="1" applyProtection="1">
      <alignment horizontal="center" vertical="center" wrapText="1"/>
      <protection hidden="1"/>
    </xf>
    <xf numFmtId="0" fontId="72" fillId="0" borderId="16" xfId="0" applyFont="1" applyBorder="1" applyAlignment="1" applyProtection="1">
      <alignment horizontal="center" vertical="center" wrapText="1"/>
      <protection hidden="1"/>
    </xf>
    <xf numFmtId="0" fontId="27" fillId="12" borderId="14" xfId="0" applyFont="1" applyFill="1" applyBorder="1" applyAlignment="1" applyProtection="1">
      <alignment horizontal="center" vertical="center"/>
      <protection hidden="1"/>
    </xf>
    <xf numFmtId="0" fontId="27" fillId="12" borderId="15" xfId="0" applyFont="1" applyFill="1" applyBorder="1" applyAlignment="1" applyProtection="1">
      <alignment horizontal="center" vertical="center"/>
      <protection hidden="1"/>
    </xf>
    <xf numFmtId="0" fontId="27" fillId="12" borderId="16" xfId="0" applyFont="1" applyFill="1" applyBorder="1" applyAlignment="1" applyProtection="1">
      <alignment horizontal="center" vertical="center"/>
      <protection hidden="1"/>
    </xf>
    <xf numFmtId="0" fontId="26" fillId="6" borderId="1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6" xfId="0" applyFont="1" applyFill="1" applyBorder="1" applyAlignment="1" applyProtection="1">
      <alignment horizontal="center" vertical="center"/>
      <protection hidden="1"/>
    </xf>
    <xf numFmtId="0" fontId="7" fillId="6" borderId="39" xfId="0" applyFont="1" applyFill="1" applyBorder="1" applyAlignment="1" applyProtection="1">
      <alignment horizontal="center" vertical="center" wrapText="1"/>
      <protection hidden="1"/>
    </xf>
    <xf numFmtId="0" fontId="7" fillId="6" borderId="12" xfId="0" applyFont="1" applyFill="1" applyBorder="1" applyAlignment="1" applyProtection="1">
      <alignment horizontal="center" vertical="center" wrapText="1"/>
      <protection hidden="1"/>
    </xf>
    <xf numFmtId="3" fontId="28" fillId="17" borderId="45" xfId="0" applyNumberFormat="1" applyFont="1" applyFill="1"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3" fontId="28" fillId="20" borderId="45" xfId="0" applyNumberFormat="1" applyFont="1" applyFill="1" applyBorder="1" applyAlignment="1" applyProtection="1">
      <alignment horizontal="center" vertical="center" wrapText="1"/>
      <protection hidden="1"/>
    </xf>
    <xf numFmtId="0" fontId="0" fillId="20" borderId="48" xfId="0" applyFill="1" applyBorder="1" applyAlignment="1" applyProtection="1">
      <alignment horizontal="center" vertical="center" wrapText="1"/>
      <protection hidden="1"/>
    </xf>
    <xf numFmtId="3" fontId="28" fillId="21" borderId="54" xfId="0" applyNumberFormat="1" applyFont="1" applyFill="1" applyBorder="1" applyAlignment="1" applyProtection="1">
      <alignment horizontal="center" vertical="center" wrapText="1"/>
      <protection hidden="1"/>
    </xf>
    <xf numFmtId="0" fontId="0" fillId="21" borderId="30" xfId="0" applyFill="1" applyBorder="1" applyAlignment="1" applyProtection="1">
      <alignment horizontal="center" vertical="center" wrapText="1"/>
      <protection hidden="1"/>
    </xf>
    <xf numFmtId="0" fontId="0" fillId="21" borderId="55" xfId="0" applyFill="1" applyBorder="1" applyAlignment="1" applyProtection="1">
      <alignment horizontal="center" vertical="center" wrapText="1"/>
      <protection hidden="1"/>
    </xf>
    <xf numFmtId="3" fontId="28" fillId="15" borderId="64" xfId="0" applyNumberFormat="1" applyFont="1" applyFill="1" applyBorder="1" applyAlignment="1" applyProtection="1">
      <alignment horizontal="center" vertical="center" wrapText="1"/>
      <protection hidden="1"/>
    </xf>
    <xf numFmtId="0" fontId="0" fillId="15" borderId="3" xfId="0" applyFill="1" applyBorder="1" applyAlignment="1" applyProtection="1">
      <alignment horizontal="center" vertical="center" wrapText="1"/>
      <protection hidden="1"/>
    </xf>
    <xf numFmtId="0" fontId="0" fillId="15" borderId="13" xfId="0" applyFill="1" applyBorder="1" applyAlignment="1" applyProtection="1">
      <alignment horizontal="center" vertical="center" wrapText="1"/>
      <protection hidden="1"/>
    </xf>
    <xf numFmtId="168" fontId="28" fillId="15" borderId="5" xfId="0" applyNumberFormat="1" applyFont="1" applyFill="1"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0" fontId="0" fillId="15" borderId="8" xfId="0" applyFill="1" applyBorder="1" applyAlignment="1" applyProtection="1">
      <alignment horizontal="center" vertical="center" wrapText="1"/>
      <protection hidden="1"/>
    </xf>
    <xf numFmtId="14" fontId="28" fillId="15" borderId="39" xfId="0" applyNumberFormat="1" applyFont="1" applyFill="1" applyBorder="1" applyAlignment="1" applyProtection="1">
      <alignment horizontal="center" vertical="center" wrapText="1"/>
      <protection hidden="1"/>
    </xf>
    <xf numFmtId="0" fontId="0" fillId="15" borderId="42" xfId="0" applyFill="1" applyBorder="1" applyAlignment="1" applyProtection="1">
      <alignment horizontal="center" vertical="center" wrapText="1"/>
      <protection hidden="1"/>
    </xf>
    <xf numFmtId="0" fontId="0" fillId="15" borderId="12" xfId="0" applyFill="1" applyBorder="1" applyAlignment="1" applyProtection="1">
      <alignment horizontal="center" vertical="center" wrapText="1"/>
      <protection hidden="1"/>
    </xf>
    <xf numFmtId="49" fontId="28" fillId="21" borderId="54" xfId="0" applyNumberFormat="1" applyFont="1" applyFill="1" applyBorder="1" applyAlignment="1" applyProtection="1">
      <alignment horizontal="center" vertical="center" wrapText="1"/>
      <protection hidden="1"/>
    </xf>
    <xf numFmtId="0" fontId="25" fillId="12" borderId="22" xfId="0" applyFont="1" applyFill="1" applyBorder="1" applyAlignment="1" applyProtection="1">
      <alignment horizontal="center" vertical="center"/>
      <protection hidden="1"/>
    </xf>
    <xf numFmtId="0" fontId="25" fillId="12" borderId="31" xfId="0" applyFont="1" applyFill="1" applyBorder="1" applyAlignment="1" applyProtection="1">
      <alignment horizontal="center" vertical="center"/>
      <protection hidden="1"/>
    </xf>
    <xf numFmtId="0" fontId="25" fillId="12" borderId="23" xfId="0" applyFont="1" applyFill="1" applyBorder="1" applyAlignment="1" applyProtection="1">
      <alignment horizontal="center" vertical="center"/>
      <protection hidden="1"/>
    </xf>
    <xf numFmtId="0" fontId="25" fillId="12" borderId="21" xfId="0" applyFont="1" applyFill="1" applyBorder="1" applyAlignment="1" applyProtection="1">
      <alignment horizontal="center" vertical="center"/>
      <protection hidden="1"/>
    </xf>
    <xf numFmtId="0" fontId="25" fillId="12" borderId="40" xfId="0" applyFont="1" applyFill="1" applyBorder="1" applyAlignment="1" applyProtection="1">
      <alignment horizontal="center" vertical="center"/>
      <protection hidden="1"/>
    </xf>
    <xf numFmtId="0" fontId="25" fillId="12" borderId="6" xfId="0" applyFont="1" applyFill="1" applyBorder="1" applyAlignment="1" applyProtection="1">
      <alignment horizontal="center" vertical="center"/>
      <protection hidden="1"/>
    </xf>
    <xf numFmtId="0" fontId="25" fillId="12" borderId="14" xfId="0" applyFont="1" applyFill="1" applyBorder="1" applyAlignment="1" applyProtection="1">
      <alignment horizontal="center" vertical="center"/>
      <protection hidden="1"/>
    </xf>
    <xf numFmtId="0" fontId="25" fillId="12" borderId="15" xfId="0" applyFont="1" applyFill="1" applyBorder="1" applyAlignment="1" applyProtection="1">
      <alignment horizontal="center" vertical="center"/>
      <protection hidden="1"/>
    </xf>
    <xf numFmtId="0" fontId="25" fillId="12" borderId="16" xfId="0" applyFont="1" applyFill="1" applyBorder="1" applyAlignment="1" applyProtection="1">
      <alignment horizontal="center" vertical="center"/>
      <protection hidden="1"/>
    </xf>
    <xf numFmtId="0" fontId="16" fillId="6" borderId="43" xfId="0" applyFont="1" applyFill="1" applyBorder="1" applyAlignment="1" applyProtection="1">
      <alignment horizontal="center" vertical="center" wrapText="1"/>
      <protection hidden="1"/>
    </xf>
    <xf numFmtId="0" fontId="16" fillId="6" borderId="45" xfId="0" applyFont="1" applyFill="1" applyBorder="1" applyAlignment="1" applyProtection="1">
      <alignment horizontal="center" vertical="center" wrapText="1"/>
      <protection hidden="1"/>
    </xf>
    <xf numFmtId="0" fontId="16" fillId="6" borderId="20" xfId="0" applyFont="1" applyFill="1" applyBorder="1" applyAlignment="1" applyProtection="1">
      <alignment horizontal="center" vertical="center" wrapText="1"/>
      <protection hidden="1"/>
    </xf>
    <xf numFmtId="0" fontId="16" fillId="6" borderId="32" xfId="0" applyFont="1" applyFill="1" applyBorder="1" applyAlignment="1" applyProtection="1">
      <alignment horizontal="center" vertical="center" wrapText="1"/>
      <protection hidden="1"/>
    </xf>
    <xf numFmtId="168" fontId="29" fillId="15" borderId="51" xfId="0" applyNumberFormat="1" applyFont="1" applyFill="1" applyBorder="1" applyAlignment="1" applyProtection="1">
      <alignment horizontal="center" vertical="center" wrapText="1"/>
    </xf>
    <xf numFmtId="168" fontId="29" fillId="15" borderId="26" xfId="0" applyNumberFormat="1" applyFont="1" applyFill="1" applyBorder="1" applyAlignment="1" applyProtection="1">
      <alignment horizontal="center" vertical="center" wrapText="1"/>
    </xf>
    <xf numFmtId="168" fontId="29" fillId="15" borderId="49" xfId="0" applyNumberFormat="1" applyFont="1" applyFill="1" applyBorder="1" applyAlignment="1" applyProtection="1">
      <alignment horizontal="center" vertical="center" wrapText="1"/>
    </xf>
    <xf numFmtId="0" fontId="28" fillId="18" borderId="58" xfId="0" applyFont="1" applyFill="1" applyBorder="1" applyAlignment="1" applyProtection="1">
      <alignment horizontal="center" vertical="center" wrapText="1"/>
      <protection hidden="1"/>
    </xf>
    <xf numFmtId="0" fontId="28" fillId="18" borderId="53" xfId="0" applyFont="1" applyFill="1" applyBorder="1" applyAlignment="1" applyProtection="1">
      <alignment horizontal="center" vertical="center" wrapText="1"/>
      <protection hidden="1"/>
    </xf>
    <xf numFmtId="0" fontId="28" fillId="18" borderId="48" xfId="0" applyFont="1" applyFill="1" applyBorder="1" applyAlignment="1" applyProtection="1">
      <alignment horizontal="center" vertical="center" wrapText="1"/>
      <protection hidden="1"/>
    </xf>
    <xf numFmtId="0" fontId="30" fillId="15" borderId="65" xfId="0" applyFont="1" applyFill="1" applyBorder="1" applyAlignment="1" applyProtection="1">
      <alignment horizontal="center" vertical="center"/>
      <protection hidden="1"/>
    </xf>
    <xf numFmtId="0" fontId="30" fillId="15" borderId="66" xfId="0" applyFont="1" applyFill="1" applyBorder="1" applyAlignment="1" applyProtection="1">
      <alignment horizontal="center" vertical="center"/>
      <protection hidden="1"/>
    </xf>
    <xf numFmtId="0" fontId="30" fillId="15" borderId="67" xfId="0" applyFont="1" applyFill="1" applyBorder="1" applyAlignment="1" applyProtection="1">
      <alignment horizontal="center" vertical="center"/>
      <protection hidden="1"/>
    </xf>
    <xf numFmtId="0" fontId="30" fillId="15" borderId="23" xfId="0" applyFont="1" applyFill="1" applyBorder="1" applyAlignment="1" applyProtection="1">
      <alignment horizontal="center" vertical="center"/>
      <protection hidden="1"/>
    </xf>
    <xf numFmtId="0" fontId="30" fillId="15" borderId="38" xfId="0" applyFont="1" applyFill="1" applyBorder="1" applyAlignment="1" applyProtection="1">
      <alignment horizontal="center" vertical="center"/>
      <protection hidden="1"/>
    </xf>
    <xf numFmtId="0" fontId="30" fillId="15" borderId="6" xfId="0" applyFont="1" applyFill="1" applyBorder="1" applyAlignment="1" applyProtection="1">
      <alignment horizontal="center" vertical="center"/>
      <protection hidden="1"/>
    </xf>
    <xf numFmtId="0" fontId="30" fillId="18" borderId="41" xfId="0" applyFont="1" applyFill="1" applyBorder="1" applyAlignment="1" applyProtection="1">
      <alignment horizontal="center" vertical="center"/>
      <protection hidden="1"/>
    </xf>
    <xf numFmtId="0" fontId="30" fillId="18" borderId="1" xfId="0" applyFont="1" applyFill="1" applyBorder="1" applyAlignment="1" applyProtection="1">
      <alignment horizontal="center" vertical="center"/>
      <protection hidden="1"/>
    </xf>
    <xf numFmtId="0" fontId="28" fillId="15" borderId="64" xfId="0" applyFont="1" applyFill="1" applyBorder="1" applyAlignment="1" applyProtection="1">
      <alignment horizontal="center" vertical="center" wrapText="1"/>
      <protection hidden="1"/>
    </xf>
    <xf numFmtId="0" fontId="28" fillId="15" borderId="39" xfId="0" applyFont="1" applyFill="1" applyBorder="1" applyAlignment="1" applyProtection="1">
      <alignment horizontal="center" vertical="center" wrapText="1"/>
      <protection hidden="1"/>
    </xf>
    <xf numFmtId="0" fontId="26" fillId="18" borderId="4" xfId="0" applyFont="1" applyFill="1" applyBorder="1" applyAlignment="1" applyProtection="1">
      <alignment horizontal="center" vertical="center"/>
      <protection hidden="1"/>
    </xf>
    <xf numFmtId="0" fontId="29" fillId="18" borderId="5" xfId="0" applyFont="1" applyFill="1" applyBorder="1" applyAlignment="1" applyProtection="1">
      <alignment horizontal="center" vertical="center"/>
      <protection hidden="1"/>
    </xf>
    <xf numFmtId="0" fontId="29" fillId="18" borderId="41" xfId="0" applyFont="1" applyFill="1" applyBorder="1" applyAlignment="1" applyProtection="1">
      <alignment horizontal="center" vertical="center"/>
      <protection hidden="1"/>
    </xf>
    <xf numFmtId="0" fontId="29" fillId="18" borderId="1" xfId="0" applyFont="1" applyFill="1" applyBorder="1" applyAlignment="1" applyProtection="1">
      <alignment horizontal="center" vertical="center"/>
      <protection hidden="1"/>
    </xf>
    <xf numFmtId="0" fontId="29" fillId="18" borderId="8" xfId="0" applyFont="1" applyFill="1" applyBorder="1" applyAlignment="1" applyProtection="1">
      <alignment horizontal="center" vertical="center"/>
      <protection hidden="1"/>
    </xf>
    <xf numFmtId="0" fontId="30" fillId="18" borderId="7" xfId="0" applyFont="1" applyFill="1" applyBorder="1" applyAlignment="1" applyProtection="1">
      <alignment horizontal="center" vertical="center"/>
      <protection hidden="1"/>
    </xf>
    <xf numFmtId="0" fontId="30" fillId="18" borderId="8" xfId="0" applyFont="1" applyFill="1" applyBorder="1" applyAlignment="1" applyProtection="1">
      <alignment horizontal="center" vertical="center"/>
      <protection hidden="1"/>
    </xf>
    <xf numFmtId="1" fontId="28" fillId="15" borderId="64" xfId="0" applyNumberFormat="1" applyFont="1" applyFill="1" applyBorder="1" applyAlignment="1" applyProtection="1">
      <alignment horizontal="center" vertical="center" wrapText="1"/>
      <protection hidden="1"/>
    </xf>
    <xf numFmtId="1" fontId="0" fillId="15" borderId="3" xfId="0" applyNumberFormat="1" applyFill="1" applyBorder="1" applyAlignment="1" applyProtection="1">
      <alignment horizontal="center" vertical="center" wrapText="1"/>
      <protection hidden="1"/>
    </xf>
    <xf numFmtId="1" fontId="0" fillId="15" borderId="13" xfId="0" applyNumberFormat="1" applyFill="1" applyBorder="1" applyAlignment="1" applyProtection="1">
      <alignment horizontal="center" vertical="center" wrapText="1"/>
      <protection hidden="1"/>
    </xf>
    <xf numFmtId="0" fontId="28" fillId="18" borderId="5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168" fontId="28" fillId="15" borderId="39" xfId="0" applyNumberFormat="1" applyFont="1" applyFill="1" applyBorder="1" applyAlignment="1" applyProtection="1">
      <alignment horizontal="center" vertical="center" wrapText="1"/>
      <protection hidden="1"/>
    </xf>
    <xf numFmtId="0" fontId="29" fillId="15" borderId="39" xfId="0" applyFont="1" applyFill="1" applyBorder="1" applyAlignment="1" applyProtection="1">
      <alignment horizontal="center" vertical="center" wrapText="1"/>
      <protection hidden="1"/>
    </xf>
    <xf numFmtId="0" fontId="29" fillId="15" borderId="42" xfId="0" applyFont="1" applyFill="1" applyBorder="1" applyAlignment="1" applyProtection="1">
      <alignment horizontal="center" vertical="center" wrapText="1"/>
      <protection hidden="1"/>
    </xf>
    <xf numFmtId="0" fontId="29" fillId="15" borderId="12" xfId="0" applyFont="1" applyFill="1" applyBorder="1" applyAlignment="1" applyProtection="1">
      <alignment horizontal="center" vertical="center" wrapText="1"/>
      <protection hidden="1"/>
    </xf>
    <xf numFmtId="0" fontId="30" fillId="18" borderId="22" xfId="0" applyFont="1" applyFill="1" applyBorder="1" applyAlignment="1" applyProtection="1">
      <alignment horizontal="center" vertical="center"/>
      <protection hidden="1"/>
    </xf>
    <xf numFmtId="0" fontId="30" fillId="18" borderId="31" xfId="0" applyFont="1" applyFill="1" applyBorder="1" applyAlignment="1" applyProtection="1">
      <alignment horizontal="center" vertical="center"/>
      <protection hidden="1"/>
    </xf>
    <xf numFmtId="0" fontId="30" fillId="18" borderId="24" xfId="0" applyFont="1" applyFill="1" applyBorder="1" applyAlignment="1" applyProtection="1">
      <alignment horizontal="center" vertical="center"/>
      <protection hidden="1"/>
    </xf>
    <xf numFmtId="0" fontId="30" fillId="18" borderId="0" xfId="0" applyFont="1" applyFill="1" applyBorder="1" applyAlignment="1" applyProtection="1">
      <alignment horizontal="center" vertical="center"/>
      <protection hidden="1"/>
    </xf>
    <xf numFmtId="0" fontId="30" fillId="18" borderId="21" xfId="0" applyFont="1" applyFill="1" applyBorder="1" applyAlignment="1" applyProtection="1">
      <alignment horizontal="center" vertical="center"/>
      <protection hidden="1"/>
    </xf>
    <xf numFmtId="0" fontId="30" fillId="18" borderId="40" xfId="0" applyFont="1" applyFill="1" applyBorder="1" applyAlignment="1" applyProtection="1">
      <alignment horizontal="center" vertical="center"/>
      <protection hidden="1"/>
    </xf>
    <xf numFmtId="0" fontId="28" fillId="19" borderId="64" xfId="0" applyFont="1" applyFill="1" applyBorder="1" applyAlignment="1" applyProtection="1">
      <alignment horizontal="center" vertical="center" wrapText="1"/>
      <protection hidden="1"/>
    </xf>
    <xf numFmtId="0" fontId="0" fillId="19" borderId="3" xfId="0"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168" fontId="28" fillId="19" borderId="5" xfId="0" applyNumberFormat="1" applyFont="1" applyFill="1" applyBorder="1" applyAlignment="1" applyProtection="1">
      <alignment horizontal="center" vertical="center" wrapText="1"/>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28" fillId="19" borderId="39" xfId="0" applyFont="1"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0" fontId="26" fillId="18" borderId="22" xfId="0" applyFont="1" applyFill="1" applyBorder="1" applyAlignment="1" applyProtection="1">
      <alignment horizontal="center" vertical="center"/>
      <protection hidden="1"/>
    </xf>
    <xf numFmtId="0" fontId="26" fillId="18" borderId="31" xfId="0" applyFont="1" applyFill="1" applyBorder="1" applyAlignment="1" applyProtection="1">
      <alignment horizontal="center" vertical="center"/>
      <protection hidden="1"/>
    </xf>
    <xf numFmtId="0" fontId="26" fillId="18" borderId="24" xfId="0" applyFont="1" applyFill="1" applyBorder="1" applyAlignment="1" applyProtection="1">
      <alignment horizontal="center" vertical="center"/>
      <protection hidden="1"/>
    </xf>
    <xf numFmtId="0" fontId="26" fillId="18" borderId="0" xfId="0" applyFont="1" applyFill="1" applyBorder="1" applyAlignment="1" applyProtection="1">
      <alignment horizontal="center" vertical="center"/>
      <protection hidden="1"/>
    </xf>
    <xf numFmtId="0" fontId="26" fillId="18" borderId="21" xfId="0" applyFont="1" applyFill="1" applyBorder="1" applyAlignment="1" applyProtection="1">
      <alignment horizontal="center" vertical="center"/>
      <protection hidden="1"/>
    </xf>
    <xf numFmtId="0" fontId="26" fillId="18" borderId="40" xfId="0" applyFont="1" applyFill="1" applyBorder="1" applyAlignment="1" applyProtection="1">
      <alignment horizontal="center" vertical="center"/>
      <protection hidden="1"/>
    </xf>
    <xf numFmtId="0" fontId="30" fillId="18" borderId="23" xfId="0" applyFont="1" applyFill="1" applyBorder="1" applyAlignment="1" applyProtection="1">
      <alignment horizontal="center" vertical="center"/>
      <protection hidden="1"/>
    </xf>
    <xf numFmtId="0" fontId="30" fillId="18" borderId="38" xfId="0" applyFont="1" applyFill="1" applyBorder="1" applyAlignment="1" applyProtection="1">
      <alignment horizontal="center" vertical="center"/>
      <protection hidden="1"/>
    </xf>
    <xf numFmtId="0" fontId="30" fillId="18" borderId="6" xfId="0" applyFont="1" applyFill="1" applyBorder="1" applyAlignment="1" applyProtection="1">
      <alignment horizontal="center" vertical="center"/>
      <protection hidden="1"/>
    </xf>
    <xf numFmtId="0" fontId="26" fillId="18" borderId="22" xfId="0" applyFont="1" applyFill="1" applyBorder="1" applyAlignment="1" applyProtection="1">
      <alignment horizontal="center" vertical="center" wrapText="1"/>
      <protection hidden="1"/>
    </xf>
    <xf numFmtId="0" fontId="26" fillId="18" borderId="23" xfId="0" applyFont="1" applyFill="1" applyBorder="1" applyAlignment="1" applyProtection="1">
      <alignment horizontal="center" vertical="center" wrapText="1"/>
      <protection hidden="1"/>
    </xf>
    <xf numFmtId="0" fontId="26" fillId="18" borderId="24" xfId="0" applyFont="1" applyFill="1" applyBorder="1" applyAlignment="1" applyProtection="1">
      <alignment horizontal="center" vertical="center" wrapText="1"/>
      <protection hidden="1"/>
    </xf>
    <xf numFmtId="0" fontId="26" fillId="18" borderId="38" xfId="0" applyFont="1" applyFill="1" applyBorder="1" applyAlignment="1" applyProtection="1">
      <alignment horizontal="center" vertical="center" wrapText="1"/>
      <protection hidden="1"/>
    </xf>
    <xf numFmtId="0" fontId="26" fillId="18" borderId="21" xfId="0" applyFont="1" applyFill="1" applyBorder="1" applyAlignment="1" applyProtection="1">
      <alignment horizontal="center" vertical="center" wrapText="1"/>
      <protection hidden="1"/>
    </xf>
    <xf numFmtId="0" fontId="26" fillId="18" borderId="6" xfId="0" applyFont="1" applyFill="1" applyBorder="1" applyAlignment="1" applyProtection="1">
      <alignment horizontal="center" vertical="center" wrapText="1"/>
      <protection hidden="1"/>
    </xf>
    <xf numFmtId="0" fontId="29" fillId="18" borderId="51" xfId="0" applyFont="1" applyFill="1" applyBorder="1" applyAlignment="1" applyProtection="1">
      <alignment horizontal="center" vertical="center" wrapText="1"/>
      <protection hidden="1"/>
    </xf>
    <xf numFmtId="14" fontId="28" fillId="15" borderId="59" xfId="0" applyNumberFormat="1" applyFont="1" applyFill="1" applyBorder="1" applyAlignment="1" applyProtection="1">
      <alignment horizontal="center" vertical="center"/>
      <protection hidden="1"/>
    </xf>
    <xf numFmtId="14" fontId="28" fillId="15" borderId="52" xfId="0" applyNumberFormat="1" applyFont="1" applyFill="1" applyBorder="1" applyAlignment="1" applyProtection="1">
      <alignment horizontal="center" vertical="center"/>
      <protection hidden="1"/>
    </xf>
    <xf numFmtId="14" fontId="28" fillId="15" borderId="50" xfId="0" applyNumberFormat="1" applyFont="1" applyFill="1" applyBorder="1" applyAlignment="1" applyProtection="1">
      <alignment horizontal="center" vertical="center"/>
      <protection hidden="1"/>
    </xf>
    <xf numFmtId="0" fontId="28" fillId="15" borderId="59" xfId="0" applyFont="1" applyFill="1" applyBorder="1" applyAlignment="1" applyProtection="1">
      <alignment horizontal="center" vertical="center"/>
      <protection hidden="1"/>
    </xf>
    <xf numFmtId="0" fontId="28" fillId="15" borderId="52" xfId="0" applyFont="1" applyFill="1" applyBorder="1" applyAlignment="1" applyProtection="1">
      <alignment horizontal="center" vertical="center"/>
      <protection hidden="1"/>
    </xf>
    <xf numFmtId="0" fontId="28" fillId="15" borderId="50" xfId="0" applyFont="1" applyFill="1" applyBorder="1" applyAlignment="1" applyProtection="1">
      <alignment horizontal="center" vertical="center"/>
      <protection hidden="1"/>
    </xf>
    <xf numFmtId="168" fontId="28" fillId="15" borderId="51" xfId="0" applyNumberFormat="1" applyFont="1" applyFill="1" applyBorder="1" applyAlignment="1" applyProtection="1">
      <alignment horizontal="center" vertical="center"/>
      <protection hidden="1"/>
    </xf>
    <xf numFmtId="168" fontId="28" fillId="15" borderId="26" xfId="0" applyNumberFormat="1" applyFont="1" applyFill="1" applyBorder="1" applyAlignment="1" applyProtection="1">
      <alignment horizontal="center" vertical="center"/>
      <protection hidden="1"/>
    </xf>
    <xf numFmtId="168" fontId="28" fillId="15" borderId="49" xfId="0" applyNumberFormat="1" applyFont="1" applyFill="1" applyBorder="1" applyAlignment="1" applyProtection="1">
      <alignment horizontal="center" vertical="center"/>
      <protection hidden="1"/>
    </xf>
    <xf numFmtId="0" fontId="28" fillId="15" borderId="74" xfId="0" applyFont="1" applyFill="1" applyBorder="1" applyAlignment="1" applyProtection="1">
      <alignment horizontal="center" vertical="center"/>
      <protection hidden="1"/>
    </xf>
    <xf numFmtId="0" fontId="28" fillId="15" borderId="29" xfId="0" applyFont="1" applyFill="1" applyBorder="1" applyAlignment="1" applyProtection="1">
      <alignment horizontal="center" vertical="center"/>
      <protection hidden="1"/>
    </xf>
    <xf numFmtId="0" fontId="28" fillId="15" borderId="75" xfId="0" applyFont="1" applyFill="1" applyBorder="1" applyAlignment="1" applyProtection="1">
      <alignment horizontal="center" vertical="center"/>
      <protection hidden="1"/>
    </xf>
    <xf numFmtId="0" fontId="29" fillId="18" borderId="23" xfId="0" applyFont="1" applyFill="1" applyBorder="1" applyAlignment="1" applyProtection="1">
      <alignment horizontal="center" vertical="center"/>
      <protection hidden="1"/>
    </xf>
    <xf numFmtId="0" fontId="29" fillId="18" borderId="24" xfId="0" applyFont="1" applyFill="1" applyBorder="1" applyAlignment="1" applyProtection="1">
      <alignment horizontal="center" vertical="center"/>
      <protection hidden="1"/>
    </xf>
    <xf numFmtId="0" fontId="29" fillId="18" borderId="38" xfId="0" applyFont="1" applyFill="1" applyBorder="1" applyAlignment="1" applyProtection="1">
      <alignment horizontal="center" vertical="center"/>
      <protection hidden="1"/>
    </xf>
    <xf numFmtId="0" fontId="29" fillId="18" borderId="21" xfId="0" applyFont="1" applyFill="1" applyBorder="1" applyAlignment="1" applyProtection="1">
      <alignment horizontal="center" vertical="center"/>
      <protection hidden="1"/>
    </xf>
    <xf numFmtId="0" fontId="29" fillId="18" borderId="6" xfId="0" applyFont="1" applyFill="1" applyBorder="1" applyAlignment="1" applyProtection="1">
      <alignment horizontal="center" vertical="center"/>
      <protection hidden="1"/>
    </xf>
    <xf numFmtId="49" fontId="26" fillId="6" borderId="43" xfId="0" applyNumberFormat="1" applyFont="1" applyFill="1" applyBorder="1" applyAlignment="1" applyProtection="1">
      <alignment horizontal="center" vertical="center"/>
      <protection hidden="1"/>
    </xf>
    <xf numFmtId="49" fontId="26" fillId="6" borderId="7" xfId="0" applyNumberFormat="1" applyFont="1" applyFill="1" applyBorder="1" applyAlignment="1" applyProtection="1">
      <alignment horizontal="center" vertical="center"/>
      <protection hidden="1"/>
    </xf>
    <xf numFmtId="49" fontId="26" fillId="6" borderId="20" xfId="0" applyNumberFormat="1" applyFont="1" applyFill="1" applyBorder="1" applyAlignment="1" applyProtection="1">
      <alignment horizontal="center" vertical="center" wrapText="1"/>
      <protection hidden="1"/>
    </xf>
    <xf numFmtId="49" fontId="26" fillId="6" borderId="8" xfId="0" applyNumberFormat="1" applyFont="1" applyFill="1" applyBorder="1" applyAlignment="1" applyProtection="1">
      <alignment horizontal="center" vertical="center" wrapText="1"/>
      <protection hidden="1"/>
    </xf>
    <xf numFmtId="49" fontId="26" fillId="6" borderId="26" xfId="2" applyNumberFormat="1" applyFont="1" applyFill="1" applyBorder="1" applyAlignment="1" applyProtection="1">
      <alignment horizontal="center" vertical="center"/>
      <protection hidden="1"/>
    </xf>
    <xf numFmtId="49" fontId="26" fillId="6" borderId="49" xfId="2" applyNumberFormat="1" applyFont="1" applyFill="1" applyBorder="1" applyAlignment="1" applyProtection="1">
      <alignment horizontal="center" vertical="center"/>
      <protection hidden="1"/>
    </xf>
    <xf numFmtId="49" fontId="26" fillId="6" borderId="20" xfId="2" applyNumberFormat="1" applyFont="1" applyFill="1" applyBorder="1" applyAlignment="1" applyProtection="1">
      <alignment horizontal="center" vertical="center" wrapText="1"/>
      <protection hidden="1"/>
    </xf>
    <xf numFmtId="49" fontId="26" fillId="6" borderId="8" xfId="2" applyNumberFormat="1" applyFont="1" applyFill="1" applyBorder="1" applyAlignment="1" applyProtection="1">
      <alignment horizontal="center" vertical="center" wrapText="1"/>
      <protection hidden="1"/>
    </xf>
    <xf numFmtId="49" fontId="26" fillId="6" borderId="5" xfId="2" applyNumberFormat="1" applyFont="1" applyFill="1" applyBorder="1" applyAlignment="1" applyProtection="1">
      <alignment horizontal="center" vertical="center" wrapText="1"/>
      <protection hidden="1"/>
    </xf>
    <xf numFmtId="49" fontId="26" fillId="19" borderId="51" xfId="2" applyNumberFormat="1" applyFont="1" applyFill="1" applyBorder="1" applyAlignment="1" applyProtection="1">
      <alignment horizontal="center" vertical="center" wrapText="1"/>
      <protection hidden="1"/>
    </xf>
    <xf numFmtId="49" fontId="26" fillId="19" borderId="49" xfId="2" applyNumberFormat="1" applyFont="1" applyFill="1" applyBorder="1" applyAlignment="1" applyProtection="1">
      <alignment horizontal="center" vertical="center" wrapText="1"/>
      <protection hidden="1"/>
    </xf>
    <xf numFmtId="49" fontId="26" fillId="19" borderId="5" xfId="2" applyNumberFormat="1" applyFont="1" applyFill="1" applyBorder="1" applyAlignment="1" applyProtection="1">
      <alignment horizontal="center" vertical="center" wrapText="1"/>
      <protection hidden="1"/>
    </xf>
    <xf numFmtId="49" fontId="26" fillId="19" borderId="8" xfId="2" applyNumberFormat="1" applyFont="1" applyFill="1" applyBorder="1" applyAlignment="1" applyProtection="1">
      <alignment horizontal="center" vertical="center" wrapText="1"/>
      <protection hidden="1"/>
    </xf>
    <xf numFmtId="0" fontId="25" fillId="12" borderId="22" xfId="0" applyFont="1" applyFill="1" applyBorder="1" applyAlignment="1" applyProtection="1">
      <alignment horizontal="center" vertical="center" wrapText="1"/>
      <protection hidden="1"/>
    </xf>
    <xf numFmtId="0" fontId="25" fillId="12" borderId="31" xfId="0" applyFont="1" applyFill="1" applyBorder="1" applyAlignment="1" applyProtection="1">
      <alignment horizontal="center" vertical="center" wrapText="1"/>
      <protection hidden="1"/>
    </xf>
    <xf numFmtId="0" fontId="25" fillId="12" borderId="23" xfId="0" applyFont="1" applyFill="1" applyBorder="1" applyAlignment="1" applyProtection="1">
      <alignment horizontal="center" vertical="center" wrapText="1"/>
      <protection hidden="1"/>
    </xf>
    <xf numFmtId="0" fontId="25" fillId="12" borderId="21" xfId="0" applyFont="1" applyFill="1" applyBorder="1" applyAlignment="1" applyProtection="1">
      <alignment horizontal="center" vertical="center" wrapText="1"/>
      <protection hidden="1"/>
    </xf>
    <xf numFmtId="0" fontId="25" fillId="12" borderId="40" xfId="0" applyFont="1" applyFill="1" applyBorder="1" applyAlignment="1" applyProtection="1">
      <alignment horizontal="center" vertical="center" wrapText="1"/>
      <protection hidden="1"/>
    </xf>
    <xf numFmtId="0" fontId="25" fillId="12" borderId="6" xfId="0" applyFont="1" applyFill="1" applyBorder="1" applyAlignment="1" applyProtection="1">
      <alignment horizontal="center" vertical="center" wrapText="1"/>
      <protection hidden="1"/>
    </xf>
    <xf numFmtId="0" fontId="16" fillId="6" borderId="18" xfId="0" applyFont="1" applyFill="1" applyBorder="1" applyAlignment="1" applyProtection="1">
      <alignment horizontal="center" vertical="center" wrapText="1"/>
      <protection hidden="1"/>
    </xf>
    <xf numFmtId="0" fontId="16" fillId="6" borderId="28" xfId="0" applyFont="1" applyFill="1" applyBorder="1" applyAlignment="1" applyProtection="1">
      <alignment horizontal="center" vertical="center" wrapText="1"/>
      <protection hidden="1"/>
    </xf>
    <xf numFmtId="0" fontId="16" fillId="6" borderId="44" xfId="0" applyFont="1" applyFill="1" applyBorder="1" applyAlignment="1" applyProtection="1">
      <alignment horizontal="center" vertical="center" wrapText="1"/>
      <protection hidden="1"/>
    </xf>
    <xf numFmtId="0" fontId="16" fillId="6" borderId="46" xfId="0"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wrapText="1"/>
      <protection hidden="1"/>
    </xf>
    <xf numFmtId="0" fontId="26" fillId="6" borderId="7" xfId="0" applyFont="1" applyFill="1" applyBorder="1" applyAlignment="1" applyProtection="1">
      <alignment horizontal="center" vertical="center" wrapText="1"/>
      <protection hidden="1"/>
    </xf>
    <xf numFmtId="0" fontId="26" fillId="6" borderId="39" xfId="0" applyFont="1" applyFill="1" applyBorder="1" applyAlignment="1" applyProtection="1">
      <alignment horizontal="center" vertical="center" wrapText="1"/>
      <protection hidden="1"/>
    </xf>
    <xf numFmtId="0" fontId="26" fillId="6" borderId="12" xfId="0" applyFont="1" applyFill="1" applyBorder="1" applyAlignment="1" applyProtection="1">
      <alignment horizontal="center" vertical="center" wrapText="1"/>
      <protection hidden="1"/>
    </xf>
    <xf numFmtId="0" fontId="26" fillId="22" borderId="22" xfId="0" applyFont="1" applyFill="1" applyBorder="1" applyAlignment="1" applyProtection="1">
      <alignment horizontal="center" vertical="center"/>
      <protection hidden="1"/>
    </xf>
    <xf numFmtId="0" fontId="26" fillId="22" borderId="24" xfId="0" applyFont="1" applyFill="1" applyBorder="1" applyAlignment="1" applyProtection="1">
      <alignment horizontal="center" vertical="center"/>
      <protection hidden="1"/>
    </xf>
    <xf numFmtId="0" fontId="26" fillId="22" borderId="21" xfId="0" applyFont="1" applyFill="1" applyBorder="1" applyAlignment="1" applyProtection="1">
      <alignment horizontal="center" vertical="center"/>
      <protection hidden="1"/>
    </xf>
    <xf numFmtId="0" fontId="26" fillId="6" borderId="39" xfId="0" applyFont="1" applyFill="1" applyBorder="1" applyAlignment="1" applyProtection="1">
      <alignment horizontal="center" vertical="center"/>
      <protection hidden="1"/>
    </xf>
    <xf numFmtId="0" fontId="26" fillId="6" borderId="46" xfId="0"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0" fontId="26" fillId="6" borderId="32" xfId="0"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protection hidden="1"/>
    </xf>
    <xf numFmtId="0" fontId="26" fillId="6" borderId="45" xfId="0"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protection hidden="1"/>
    </xf>
    <xf numFmtId="0" fontId="26" fillId="6" borderId="32" xfId="0" applyFont="1" applyFill="1" applyBorder="1" applyAlignment="1" applyProtection="1">
      <alignment horizontal="center" vertical="center"/>
      <protection hidden="1"/>
    </xf>
    <xf numFmtId="0" fontId="26" fillId="22" borderId="5" xfId="0" applyFont="1" applyFill="1" applyBorder="1" applyAlignment="1" applyProtection="1">
      <alignment horizontal="center" vertical="center" wrapText="1"/>
      <protection hidden="1"/>
    </xf>
    <xf numFmtId="0" fontId="26" fillId="22" borderId="32" xfId="0" applyFont="1" applyFill="1" applyBorder="1" applyAlignment="1" applyProtection="1">
      <alignment horizontal="center" vertical="center" wrapText="1"/>
      <protection hidden="1"/>
    </xf>
    <xf numFmtId="49" fontId="26" fillId="6" borderId="4" xfId="2" applyNumberFormat="1" applyFont="1" applyFill="1" applyBorder="1" applyAlignment="1" applyProtection="1">
      <alignment horizontal="center" vertical="center" wrapText="1"/>
      <protection hidden="1"/>
    </xf>
    <xf numFmtId="49" fontId="26" fillId="6" borderId="7" xfId="2" applyNumberFormat="1" applyFont="1" applyFill="1" applyBorder="1" applyAlignment="1" applyProtection="1">
      <alignment horizontal="center" vertical="center" wrapText="1"/>
      <protection hidden="1"/>
    </xf>
    <xf numFmtId="49" fontId="26" fillId="6" borderId="44" xfId="0" applyNumberFormat="1" applyFont="1" applyFill="1" applyBorder="1" applyAlignment="1" applyProtection="1">
      <alignment horizontal="center" vertical="center" wrapText="1"/>
      <protection hidden="1"/>
    </xf>
    <xf numFmtId="49" fontId="26" fillId="6" borderId="12" xfId="0" applyNumberFormat="1" applyFont="1" applyFill="1" applyBorder="1" applyAlignment="1" applyProtection="1">
      <alignment horizontal="center" vertical="center" wrapText="1"/>
      <protection hidden="1"/>
    </xf>
    <xf numFmtId="2" fontId="7" fillId="0" borderId="1" xfId="0" applyNumberFormat="1" applyFont="1" applyFill="1" applyBorder="1" applyAlignment="1" applyProtection="1">
      <alignment horizontal="center" vertical="center"/>
      <protection hidden="1"/>
    </xf>
    <xf numFmtId="2" fontId="7" fillId="0" borderId="1" xfId="0" applyNumberFormat="1" applyFont="1" applyFill="1" applyBorder="1" applyAlignment="1" applyProtection="1">
      <alignment horizontal="center" vertical="center" wrapText="1"/>
      <protection hidden="1"/>
    </xf>
    <xf numFmtId="2" fontId="7" fillId="0" borderId="8" xfId="0" applyNumberFormat="1" applyFont="1" applyFill="1" applyBorder="1" applyAlignment="1" applyProtection="1">
      <alignment horizontal="center" vertical="center"/>
      <protection hidden="1"/>
    </xf>
    <xf numFmtId="2" fontId="7" fillId="0" borderId="8" xfId="0" applyNumberFormat="1" applyFont="1" applyFill="1" applyBorder="1" applyAlignment="1" applyProtection="1">
      <alignment horizontal="center" vertical="center" wrapText="1"/>
      <protection hidden="1"/>
    </xf>
    <xf numFmtId="0" fontId="16" fillId="6" borderId="14" xfId="0" applyFont="1" applyFill="1" applyBorder="1" applyAlignment="1" applyProtection="1">
      <alignment horizontal="center" vertical="center"/>
      <protection hidden="1"/>
    </xf>
    <xf numFmtId="0" fontId="16" fillId="6" borderId="15" xfId="0" applyFont="1" applyFill="1" applyBorder="1" applyAlignment="1" applyProtection="1">
      <alignment horizontal="center" vertical="center"/>
      <protection hidden="1"/>
    </xf>
    <xf numFmtId="0" fontId="16" fillId="6" borderId="16" xfId="0" applyFont="1" applyFill="1" applyBorder="1" applyAlignment="1" applyProtection="1">
      <alignment horizontal="center" vertical="center"/>
      <protection hidden="1"/>
    </xf>
    <xf numFmtId="0" fontId="29" fillId="0" borderId="5" xfId="0" applyFont="1" applyBorder="1" applyAlignment="1" applyProtection="1">
      <alignment horizontal="center"/>
      <protection hidden="1"/>
    </xf>
    <xf numFmtId="0" fontId="28" fillId="0" borderId="5" xfId="0" applyFont="1" applyFill="1" applyBorder="1" applyAlignment="1" applyProtection="1">
      <alignment horizontal="center" vertical="center"/>
      <protection hidden="1"/>
    </xf>
    <xf numFmtId="0" fontId="29" fillId="6" borderId="56" xfId="0" applyFont="1" applyFill="1" applyBorder="1" applyAlignment="1" applyProtection="1">
      <alignment horizontal="center" vertical="center"/>
      <protection hidden="1"/>
    </xf>
    <xf numFmtId="0" fontId="16" fillId="6" borderId="24" xfId="0" applyFont="1" applyFill="1" applyBorder="1" applyAlignment="1" applyProtection="1">
      <alignment horizontal="center" vertical="center" wrapText="1"/>
      <protection hidden="1"/>
    </xf>
    <xf numFmtId="0" fontId="16" fillId="6" borderId="0" xfId="0" applyFont="1" applyFill="1" applyBorder="1" applyAlignment="1" applyProtection="1">
      <alignment horizontal="center" vertical="center" wrapText="1"/>
      <protection hidden="1"/>
    </xf>
    <xf numFmtId="0" fontId="16" fillId="6" borderId="38" xfId="0" applyFont="1" applyFill="1" applyBorder="1" applyAlignment="1" applyProtection="1">
      <alignment horizontal="center" vertical="center" wrapText="1"/>
      <protection hidden="1"/>
    </xf>
    <xf numFmtId="0" fontId="29" fillId="15" borderId="44" xfId="0" applyFont="1" applyFill="1" applyBorder="1" applyAlignment="1" applyProtection="1">
      <alignment horizontal="center" vertical="center" wrapText="1"/>
      <protection hidden="1"/>
    </xf>
    <xf numFmtId="0" fontId="29" fillId="21" borderId="51" xfId="0" applyFont="1" applyFill="1" applyBorder="1" applyAlignment="1" applyProtection="1">
      <alignment horizontal="center" vertical="center"/>
      <protection hidden="1"/>
    </xf>
    <xf numFmtId="0" fontId="29" fillId="21" borderId="26" xfId="0" applyFont="1" applyFill="1" applyBorder="1" applyAlignment="1" applyProtection="1">
      <alignment horizontal="center" vertical="center"/>
      <protection hidden="1"/>
    </xf>
    <xf numFmtId="0" fontId="29" fillId="21" borderId="49" xfId="0" applyFont="1" applyFill="1" applyBorder="1" applyAlignment="1" applyProtection="1">
      <alignment horizontal="center" vertical="center"/>
      <protection hidden="1"/>
    </xf>
    <xf numFmtId="1" fontId="6" fillId="13" borderId="33" xfId="3" applyNumberFormat="1" applyFont="1" applyBorder="1" applyAlignment="1" applyProtection="1">
      <alignment horizontal="center" vertical="center" wrapText="1"/>
      <protection locked="0" hidden="1"/>
    </xf>
    <xf numFmtId="1" fontId="6" fillId="13" borderId="34" xfId="3" applyNumberFormat="1" applyFont="1" applyBorder="1" applyAlignment="1" applyProtection="1">
      <alignment horizontal="center" vertical="center" wrapText="1"/>
      <protection locked="0"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5" fillId="6" borderId="61" xfId="0" applyNumberFormat="1" applyFont="1" applyFill="1" applyBorder="1" applyAlignment="1" applyProtection="1">
      <alignment horizontal="justify" vertical="center" wrapText="1"/>
      <protection hidden="1"/>
    </xf>
    <xf numFmtId="2" fontId="5" fillId="6" borderId="72" xfId="0" applyNumberFormat="1" applyFont="1" applyFill="1" applyBorder="1" applyAlignment="1" applyProtection="1">
      <alignment horizontal="justify" vertical="center" wrapText="1"/>
      <protection hidden="1"/>
    </xf>
    <xf numFmtId="2" fontId="5" fillId="6" borderId="64" xfId="0" applyNumberFormat="1" applyFont="1" applyFill="1" applyBorder="1" applyAlignment="1" applyProtection="1">
      <alignment horizontal="justify" vertical="center" wrapText="1"/>
      <protection hidden="1"/>
    </xf>
    <xf numFmtId="2" fontId="17" fillId="6" borderId="37" xfId="0" applyNumberFormat="1" applyFont="1" applyFill="1" applyBorder="1" applyAlignment="1" applyProtection="1">
      <alignment horizontal="center" vertical="center" wrapText="1"/>
      <protection hidden="1"/>
    </xf>
    <xf numFmtId="2" fontId="17" fillId="6" borderId="13" xfId="0" applyNumberFormat="1" applyFont="1" applyFill="1" applyBorder="1" applyAlignment="1" applyProtection="1">
      <alignment horizontal="center" vertical="center" wrapText="1"/>
      <protection hidden="1"/>
    </xf>
    <xf numFmtId="2" fontId="17" fillId="6" borderId="17" xfId="0" applyNumberFormat="1" applyFont="1" applyFill="1" applyBorder="1" applyAlignment="1" applyProtection="1">
      <alignment horizontal="center" vertical="center" wrapText="1"/>
      <protection hidden="1"/>
    </xf>
    <xf numFmtId="2" fontId="17" fillId="6" borderId="18" xfId="0"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wrapText="1"/>
      <protection hidden="1"/>
    </xf>
    <xf numFmtId="2" fontId="25" fillId="8" borderId="15" xfId="0" applyNumberFormat="1" applyFont="1" applyFill="1" applyBorder="1" applyAlignment="1" applyProtection="1">
      <alignment horizontal="center" vertical="center" wrapText="1"/>
      <protection hidden="1"/>
    </xf>
    <xf numFmtId="2" fontId="25" fillId="8" borderId="16" xfId="0" applyNumberFormat="1" applyFont="1" applyFill="1" applyBorder="1" applyAlignment="1" applyProtection="1">
      <alignment horizontal="center" vertical="center" wrapText="1"/>
      <protection hidden="1"/>
    </xf>
    <xf numFmtId="2" fontId="9" fillId="6" borderId="14" xfId="0" applyNumberFormat="1" applyFont="1" applyFill="1" applyBorder="1" applyAlignment="1" applyProtection="1">
      <alignment horizontal="center" vertical="center" wrapText="1"/>
      <protection hidden="1"/>
    </xf>
    <xf numFmtId="2" fontId="9" fillId="6" borderId="15" xfId="0" applyNumberFormat="1" applyFont="1" applyFill="1" applyBorder="1" applyAlignment="1" applyProtection="1">
      <alignment horizontal="center" vertical="center" wrapText="1"/>
      <protection hidden="1"/>
    </xf>
    <xf numFmtId="2" fontId="9" fillId="6" borderId="16" xfId="0" applyNumberFormat="1" applyFont="1" applyFill="1" applyBorder="1" applyAlignment="1" applyProtection="1">
      <alignment horizontal="center" vertical="center" wrapText="1"/>
      <protection hidden="1"/>
    </xf>
    <xf numFmtId="2" fontId="13" fillId="6" borderId="4"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2" fontId="13" fillId="6" borderId="41"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2" fontId="8" fillId="6" borderId="5" xfId="0" applyNumberFormat="1" applyFont="1" applyFill="1" applyBorder="1" applyAlignment="1" applyProtection="1">
      <alignment horizontal="center" vertical="center"/>
      <protection hidden="1"/>
    </xf>
    <xf numFmtId="2" fontId="8" fillId="6" borderId="39" xfId="0" applyNumberFormat="1" applyFont="1" applyFill="1" applyBorder="1" applyAlignment="1" applyProtection="1">
      <alignment horizontal="center" vertical="center"/>
      <protection hidden="1"/>
    </xf>
    <xf numFmtId="2" fontId="8" fillId="6" borderId="1" xfId="0" applyNumberFormat="1" applyFont="1" applyFill="1" applyBorder="1" applyAlignment="1" applyProtection="1">
      <alignment horizontal="center" vertical="center"/>
      <protection hidden="1"/>
    </xf>
    <xf numFmtId="2" fontId="8" fillId="6" borderId="42" xfId="0" applyNumberFormat="1" applyFont="1" applyFill="1" applyBorder="1" applyAlignment="1" applyProtection="1">
      <alignment horizontal="center" vertical="center"/>
      <protection hidden="1"/>
    </xf>
    <xf numFmtId="2" fontId="43" fillId="6" borderId="14" xfId="0" applyNumberFormat="1" applyFont="1" applyFill="1" applyBorder="1" applyAlignment="1" applyProtection="1">
      <alignment horizontal="center" vertical="center" wrapText="1"/>
      <protection hidden="1"/>
    </xf>
    <xf numFmtId="2" fontId="43" fillId="6" borderId="16" xfId="0" applyNumberFormat="1" applyFont="1" applyFill="1" applyBorder="1" applyAlignment="1" applyProtection="1">
      <alignment horizontal="center" vertical="center" wrapText="1"/>
      <protection hidden="1"/>
    </xf>
    <xf numFmtId="2" fontId="5" fillId="6" borderId="14" xfId="0" applyNumberFormat="1" applyFont="1" applyFill="1" applyBorder="1" applyAlignment="1" applyProtection="1">
      <alignment horizontal="center" vertical="center" wrapText="1"/>
      <protection hidden="1"/>
    </xf>
    <xf numFmtId="2" fontId="5" fillId="6" borderId="16" xfId="0" applyNumberFormat="1" applyFont="1" applyFill="1" applyBorder="1" applyAlignment="1" applyProtection="1">
      <alignment horizontal="center" vertical="center" wrapText="1"/>
      <protection hidden="1"/>
    </xf>
    <xf numFmtId="2" fontId="9" fillId="6" borderId="74" xfId="2" applyNumberFormat="1" applyFont="1" applyFill="1" applyBorder="1" applyAlignment="1" applyProtection="1">
      <alignment horizontal="center" vertical="center" wrapText="1"/>
      <protection hidden="1"/>
    </xf>
    <xf numFmtId="2" fontId="9" fillId="6" borderId="75" xfId="2" applyNumberFormat="1" applyFont="1" applyFill="1" applyBorder="1" applyAlignment="1" applyProtection="1">
      <alignment horizontal="center" vertical="center" wrapText="1"/>
      <protection hidden="1"/>
    </xf>
    <xf numFmtId="2" fontId="13" fillId="6" borderId="51" xfId="0" applyNumberFormat="1" applyFont="1" applyFill="1" applyBorder="1" applyAlignment="1" applyProtection="1">
      <alignment horizontal="center" vertical="center" wrapText="1"/>
      <protection hidden="1"/>
    </xf>
    <xf numFmtId="2" fontId="13" fillId="6" borderId="49" xfId="0" applyNumberFormat="1" applyFont="1" applyFill="1" applyBorder="1" applyAlignment="1" applyProtection="1">
      <alignment horizontal="center" vertical="center" wrapText="1"/>
      <protection hidden="1"/>
    </xf>
    <xf numFmtId="2" fontId="25" fillId="3" borderId="22" xfId="0" applyNumberFormat="1" applyFont="1" applyFill="1" applyBorder="1" applyAlignment="1" applyProtection="1">
      <alignment horizontal="center" vertical="center"/>
      <protection hidden="1"/>
    </xf>
    <xf numFmtId="2" fontId="25" fillId="3" borderId="31" xfId="0" applyNumberFormat="1" applyFont="1" applyFill="1" applyBorder="1" applyAlignment="1" applyProtection="1">
      <alignment horizontal="center" vertical="center"/>
      <protection hidden="1"/>
    </xf>
    <xf numFmtId="201" fontId="1" fillId="19" borderId="14" xfId="0" applyNumberFormat="1" applyFont="1" applyFill="1" applyBorder="1" applyAlignment="1" applyProtection="1">
      <alignment horizontal="center" vertical="center"/>
      <protection hidden="1"/>
    </xf>
    <xf numFmtId="201" fontId="1" fillId="19" borderId="15" xfId="0" applyNumberFormat="1" applyFont="1" applyFill="1" applyBorder="1" applyAlignment="1" applyProtection="1">
      <alignment horizontal="center" vertical="center"/>
      <protection hidden="1"/>
    </xf>
    <xf numFmtId="201" fontId="1" fillId="19" borderId="16" xfId="0" applyNumberFormat="1" applyFont="1" applyFill="1" applyBorder="1" applyAlignment="1" applyProtection="1">
      <alignment horizontal="center" vertical="center"/>
      <protection hidden="1"/>
    </xf>
    <xf numFmtId="2" fontId="7" fillId="13" borderId="33" xfId="3" applyFont="1" applyBorder="1" applyAlignment="1" applyProtection="1">
      <alignment horizontal="center" vertical="center"/>
      <protection locked="0" hidden="1"/>
    </xf>
    <xf numFmtId="2" fontId="7" fillId="13" borderId="34" xfId="3" applyFont="1" applyBorder="1" applyAlignment="1" applyProtection="1">
      <alignment horizontal="center" vertical="center"/>
      <protection locked="0" hidden="1"/>
    </xf>
    <xf numFmtId="2" fontId="8" fillId="2" borderId="22" xfId="0" applyNumberFormat="1" applyFont="1" applyFill="1" applyBorder="1" applyAlignment="1" applyProtection="1">
      <alignment horizontal="left" vertical="top" wrapText="1"/>
      <protection locked="0" hidden="1"/>
    </xf>
    <xf numFmtId="2" fontId="8" fillId="2" borderId="31" xfId="0" applyNumberFormat="1" applyFont="1" applyFill="1" applyBorder="1" applyAlignment="1" applyProtection="1">
      <alignment horizontal="left" vertical="top" wrapText="1"/>
      <protection locked="0" hidden="1"/>
    </xf>
    <xf numFmtId="2" fontId="8" fillId="2" borderId="23" xfId="0" applyNumberFormat="1" applyFont="1" applyFill="1" applyBorder="1" applyAlignment="1" applyProtection="1">
      <alignment horizontal="left" vertical="top" wrapText="1"/>
      <protection locked="0" hidden="1"/>
    </xf>
    <xf numFmtId="2" fontId="8" fillId="2" borderId="24" xfId="0" applyNumberFormat="1" applyFont="1" applyFill="1" applyBorder="1" applyAlignment="1" applyProtection="1">
      <alignment horizontal="left" vertical="top" wrapText="1"/>
      <protection locked="0" hidden="1"/>
    </xf>
    <xf numFmtId="2" fontId="8" fillId="2" borderId="0" xfId="0" applyNumberFormat="1" applyFont="1" applyFill="1" applyBorder="1" applyAlignment="1" applyProtection="1">
      <alignment horizontal="left" vertical="top" wrapText="1"/>
      <protection locked="0" hidden="1"/>
    </xf>
    <xf numFmtId="2" fontId="8" fillId="2" borderId="38" xfId="0" applyNumberFormat="1" applyFont="1" applyFill="1" applyBorder="1" applyAlignment="1" applyProtection="1">
      <alignment horizontal="left" vertical="top" wrapText="1"/>
      <protection locked="0" hidden="1"/>
    </xf>
    <xf numFmtId="2" fontId="8" fillId="2" borderId="21" xfId="0" applyNumberFormat="1" applyFont="1" applyFill="1" applyBorder="1" applyAlignment="1" applyProtection="1">
      <alignment horizontal="left" vertical="top" wrapText="1"/>
      <protection locked="0" hidden="1"/>
    </xf>
    <xf numFmtId="2" fontId="8" fillId="2" borderId="40" xfId="0" applyNumberFormat="1" applyFont="1" applyFill="1" applyBorder="1" applyAlignment="1" applyProtection="1">
      <alignment horizontal="left" vertical="top" wrapText="1"/>
      <protection locked="0" hidden="1"/>
    </xf>
    <xf numFmtId="2" fontId="8" fillId="2" borderId="6" xfId="0" applyNumberFormat="1" applyFont="1" applyFill="1" applyBorder="1" applyAlignment="1" applyProtection="1">
      <alignment horizontal="left" vertical="top" wrapText="1"/>
      <protection locked="0" hidden="1"/>
    </xf>
    <xf numFmtId="2" fontId="8" fillId="9" borderId="14" xfId="0" applyNumberFormat="1" applyFont="1" applyFill="1" applyBorder="1" applyAlignment="1" applyProtection="1">
      <alignment horizontal="center" vertical="center" wrapText="1"/>
      <protection hidden="1"/>
    </xf>
    <xf numFmtId="2" fontId="8" fillId="9" borderId="16" xfId="0" applyNumberFormat="1" applyFont="1" applyFill="1" applyBorder="1" applyAlignment="1" applyProtection="1">
      <alignment horizontal="center" vertical="center" wrapText="1"/>
      <protection hidden="1"/>
    </xf>
    <xf numFmtId="2" fontId="13" fillId="6" borderId="14" xfId="0" applyNumberFormat="1" applyFont="1" applyFill="1" applyBorder="1" applyAlignment="1" applyProtection="1">
      <alignment horizontal="center" vertical="center" wrapText="1"/>
      <protection hidden="1"/>
    </xf>
    <xf numFmtId="2" fontId="13" fillId="6" borderId="16" xfId="0" applyNumberFormat="1"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hidden="1"/>
    </xf>
    <xf numFmtId="0" fontId="33" fillId="3" borderId="8" xfId="0"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41" xfId="2" applyNumberFormat="1" applyFont="1" applyFill="1" applyBorder="1" applyAlignment="1" applyProtection="1">
      <alignment horizontal="center" vertical="center" wrapText="1"/>
      <protection hidden="1"/>
    </xf>
    <xf numFmtId="2" fontId="9" fillId="6" borderId="42"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8" fillId="13" borderId="14" xfId="3" applyFont="1" applyBorder="1" applyAlignment="1" applyProtection="1">
      <alignment horizontal="center" vertical="center" wrapText="1"/>
      <protection locked="0" hidden="1"/>
    </xf>
    <xf numFmtId="2" fontId="8" fillId="13" borderId="16" xfId="3" applyFont="1" applyBorder="1" applyAlignment="1" applyProtection="1">
      <alignment horizontal="center" vertical="center" wrapText="1"/>
      <protection locked="0" hidden="1"/>
    </xf>
    <xf numFmtId="2" fontId="13" fillId="6" borderId="63" xfId="0" applyNumberFormat="1" applyFont="1" applyFill="1" applyBorder="1" applyAlignment="1" applyProtection="1">
      <alignment horizontal="center" vertical="center" wrapText="1"/>
      <protection hidden="1"/>
    </xf>
    <xf numFmtId="2" fontId="13" fillId="6" borderId="67" xfId="0" applyNumberFormat="1" applyFont="1" applyFill="1" applyBorder="1" applyAlignment="1" applyProtection="1">
      <alignment horizontal="center" vertical="center" wrapText="1"/>
      <protection hidden="1"/>
    </xf>
    <xf numFmtId="2" fontId="13" fillId="6" borderId="60"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center" vertical="center" wrapText="1"/>
      <protection hidden="1"/>
    </xf>
    <xf numFmtId="2" fontId="13" fillId="6" borderId="38" xfId="0" applyNumberFormat="1" applyFont="1" applyFill="1" applyBorder="1" applyAlignment="1" applyProtection="1">
      <alignment horizontal="center" vertical="center" wrapText="1"/>
      <protection hidden="1"/>
    </xf>
    <xf numFmtId="2" fontId="8" fillId="6" borderId="62" xfId="0" applyNumberFormat="1" applyFont="1" applyFill="1" applyBorder="1" applyAlignment="1" applyProtection="1">
      <alignment horizontal="center"/>
      <protection hidden="1"/>
    </xf>
    <xf numFmtId="2" fontId="8" fillId="6" borderId="19" xfId="0" applyNumberFormat="1" applyFont="1" applyFill="1" applyBorder="1" applyAlignment="1" applyProtection="1">
      <alignment horizontal="center"/>
      <protection hidden="1"/>
    </xf>
    <xf numFmtId="2" fontId="8" fillId="6" borderId="66" xfId="0" applyNumberFormat="1" applyFont="1" applyFill="1" applyBorder="1" applyAlignment="1" applyProtection="1">
      <alignment horizontal="center"/>
      <protection hidden="1"/>
    </xf>
    <xf numFmtId="2" fontId="9" fillId="6" borderId="14" xfId="0" applyNumberFormat="1" applyFont="1" applyFill="1" applyBorder="1" applyAlignment="1" applyProtection="1">
      <alignment horizontal="center" vertical="center"/>
      <protection hidden="1"/>
    </xf>
    <xf numFmtId="2" fontId="9" fillId="6" borderId="15" xfId="0" applyNumberFormat="1" applyFont="1" applyFill="1" applyBorder="1" applyAlignment="1" applyProtection="1">
      <alignment horizontal="center" vertical="center"/>
      <protection hidden="1"/>
    </xf>
    <xf numFmtId="2" fontId="9" fillId="6" borderId="16" xfId="0" applyNumberFormat="1" applyFont="1" applyFill="1" applyBorder="1" applyAlignment="1" applyProtection="1">
      <alignment horizontal="center" vertical="center"/>
      <protection hidden="1"/>
    </xf>
    <xf numFmtId="2" fontId="8" fillId="6" borderId="14"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2" fontId="10" fillId="6" borderId="9" xfId="0" applyNumberFormat="1" applyFont="1" applyFill="1" applyBorder="1" applyAlignment="1" applyProtection="1">
      <alignment horizontal="center" vertical="center" wrapText="1"/>
      <protection hidden="1"/>
    </xf>
    <xf numFmtId="2" fontId="10" fillId="6" borderId="11" xfId="0" applyNumberFormat="1" applyFont="1" applyFill="1" applyBorder="1" applyAlignment="1" applyProtection="1">
      <alignment horizontal="center" vertical="center" wrapText="1"/>
      <protection hidden="1"/>
    </xf>
    <xf numFmtId="2" fontId="25" fillId="3" borderId="21" xfId="0" applyNumberFormat="1" applyFont="1" applyFill="1" applyBorder="1" applyAlignment="1" applyProtection="1">
      <alignment horizontal="center" vertical="center"/>
      <protection hidden="1"/>
    </xf>
    <xf numFmtId="2" fontId="25" fillId="3" borderId="40" xfId="0" applyNumberFormat="1" applyFont="1" applyFill="1" applyBorder="1" applyAlignment="1" applyProtection="1">
      <alignment horizontal="center" vertical="center"/>
      <protection hidden="1"/>
    </xf>
    <xf numFmtId="2" fontId="25" fillId="3" borderId="6"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vertical="center" wrapText="1"/>
      <protection hidden="1"/>
    </xf>
    <xf numFmtId="2" fontId="9" fillId="6" borderId="31" xfId="2" applyNumberFormat="1" applyFont="1" applyFill="1" applyBorder="1" applyAlignment="1" applyProtection="1">
      <alignment horizontal="center" vertical="center" wrapText="1"/>
      <protection hidden="1"/>
    </xf>
    <xf numFmtId="2" fontId="9" fillId="6" borderId="21"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10" fillId="6" borderId="4" xfId="2" applyNumberFormat="1" applyFont="1" applyFill="1" applyBorder="1" applyAlignment="1" applyProtection="1">
      <alignment horizontal="center" vertical="center" wrapText="1"/>
      <protection hidden="1"/>
    </xf>
    <xf numFmtId="2" fontId="10" fillId="6" borderId="45" xfId="2" applyNumberFormat="1" applyFont="1" applyFill="1" applyBorder="1" applyAlignment="1" applyProtection="1">
      <alignment horizontal="center" vertical="center" wrapText="1"/>
      <protection hidden="1"/>
    </xf>
    <xf numFmtId="2" fontId="10" fillId="6" borderId="5" xfId="2" applyNumberFormat="1" applyFont="1" applyFill="1" applyBorder="1" applyAlignment="1" applyProtection="1">
      <alignment horizontal="center" vertical="center" wrapText="1"/>
      <protection hidden="1"/>
    </xf>
    <xf numFmtId="2" fontId="10" fillId="6" borderId="32" xfId="2" applyNumberFormat="1" applyFont="1" applyFill="1" applyBorder="1" applyAlignment="1" applyProtection="1">
      <alignment horizontal="center" vertical="center" wrapText="1"/>
      <protection hidden="1"/>
    </xf>
    <xf numFmtId="2" fontId="10" fillId="6" borderId="39" xfId="2" applyNumberFormat="1" applyFont="1" applyFill="1" applyBorder="1" applyAlignment="1" applyProtection="1">
      <alignment horizontal="center" vertical="center" wrapText="1"/>
      <protection hidden="1"/>
    </xf>
    <xf numFmtId="2" fontId="10" fillId="6" borderId="46" xfId="2" applyNumberFormat="1" applyFont="1" applyFill="1" applyBorder="1" applyAlignment="1" applyProtection="1">
      <alignment horizontal="center" vertical="center" wrapText="1"/>
      <protection hidden="1"/>
    </xf>
    <xf numFmtId="0" fontId="10" fillId="6" borderId="41" xfId="0" applyFont="1" applyFill="1" applyBorder="1" applyAlignment="1" applyProtection="1">
      <alignment horizontal="center"/>
      <protection hidden="1"/>
    </xf>
    <xf numFmtId="0" fontId="10" fillId="6" borderId="2" xfId="0" applyFont="1" applyFill="1" applyBorder="1" applyAlignment="1" applyProtection="1">
      <alignment horizontal="center"/>
      <protection hidden="1"/>
    </xf>
    <xf numFmtId="2" fontId="17" fillId="6" borderId="4" xfId="0" applyNumberFormat="1" applyFont="1" applyFill="1" applyBorder="1" applyAlignment="1" applyProtection="1">
      <alignment horizontal="center" vertical="center"/>
      <protection hidden="1"/>
    </xf>
    <xf numFmtId="2" fontId="17" fillId="6" borderId="45" xfId="0" applyNumberFormat="1" applyFont="1" applyFill="1" applyBorder="1" applyAlignment="1" applyProtection="1">
      <alignment horizontal="center" vertical="center"/>
      <protection hidden="1"/>
    </xf>
    <xf numFmtId="2" fontId="8" fillId="9" borderId="57" xfId="0" applyNumberFormat="1" applyFont="1" applyFill="1" applyBorder="1" applyAlignment="1" applyProtection="1">
      <alignment horizontal="center" vertical="center"/>
      <protection hidden="1"/>
    </xf>
    <xf numFmtId="2" fontId="8" fillId="9" borderId="65" xfId="0" applyNumberFormat="1" applyFont="1" applyFill="1" applyBorder="1" applyAlignment="1" applyProtection="1">
      <alignment horizontal="center" vertical="center"/>
      <protection hidden="1"/>
    </xf>
    <xf numFmtId="2" fontId="13" fillId="6" borderId="61" xfId="0" applyNumberFormat="1" applyFont="1" applyFill="1" applyBorder="1" applyAlignment="1" applyProtection="1">
      <alignment horizontal="center" vertical="center"/>
      <protection hidden="1"/>
    </xf>
    <xf numFmtId="2" fontId="13" fillId="6" borderId="64" xfId="0" applyNumberFormat="1" applyFont="1" applyFill="1" applyBorder="1" applyAlignment="1" applyProtection="1">
      <alignment horizontal="center" vertical="center"/>
      <protection hidden="1"/>
    </xf>
    <xf numFmtId="2" fontId="9" fillId="6" borderId="4" xfId="2"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protection hidden="1"/>
    </xf>
    <xf numFmtId="2" fontId="9" fillId="6" borderId="41" xfId="2" applyNumberFormat="1" applyFont="1" applyFill="1" applyBorder="1" applyAlignment="1" applyProtection="1">
      <alignment horizontal="center" vertical="center"/>
      <protection hidden="1"/>
    </xf>
    <xf numFmtId="2" fontId="9" fillId="6" borderId="1" xfId="2" applyNumberFormat="1" applyFont="1" applyFill="1" applyBorder="1" applyAlignment="1" applyProtection="1">
      <alignment horizontal="center" vertical="center"/>
      <protection hidden="1"/>
    </xf>
    <xf numFmtId="2" fontId="9" fillId="6" borderId="62" xfId="2" applyNumberFormat="1" applyFont="1" applyFill="1" applyBorder="1" applyAlignment="1" applyProtection="1">
      <alignment horizontal="center" vertical="center"/>
      <protection hidden="1"/>
    </xf>
    <xf numFmtId="2" fontId="9" fillId="6" borderId="3" xfId="2" applyNumberFormat="1" applyFont="1" applyFill="1" applyBorder="1" applyAlignment="1" applyProtection="1">
      <alignment horizontal="center" vertical="center"/>
      <protection hidden="1"/>
    </xf>
    <xf numFmtId="2" fontId="8" fillId="9" borderId="2" xfId="0" applyNumberFormat="1" applyFont="1" applyFill="1" applyBorder="1" applyAlignment="1" applyProtection="1">
      <alignment horizontal="center" vertical="center"/>
      <protection hidden="1"/>
    </xf>
    <xf numFmtId="2" fontId="8" fillId="9" borderId="66"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protection hidden="1"/>
    </xf>
    <xf numFmtId="2" fontId="9" fillId="6" borderId="24" xfId="2" applyNumberFormat="1" applyFont="1" applyFill="1" applyBorder="1" applyAlignment="1" applyProtection="1">
      <alignment horizontal="center"/>
      <protection hidden="1"/>
    </xf>
    <xf numFmtId="2" fontId="9" fillId="29" borderId="23" xfId="2" applyNumberFormat="1" applyFont="1" applyFill="1" applyBorder="1" applyAlignment="1" applyProtection="1">
      <alignment horizontal="center"/>
      <protection hidden="1"/>
    </xf>
    <xf numFmtId="2" fontId="9" fillId="29" borderId="0" xfId="2" applyNumberFormat="1" applyFont="1" applyFill="1" applyBorder="1" applyAlignment="1" applyProtection="1">
      <alignment horizontal="center"/>
      <protection hidden="1"/>
    </xf>
    <xf numFmtId="2" fontId="9" fillId="6" borderId="14" xfId="2" applyNumberFormat="1" applyFont="1" applyFill="1" applyBorder="1" applyAlignment="1" applyProtection="1">
      <alignment horizontal="center" vertical="center" wrapText="1"/>
      <protection hidden="1"/>
    </xf>
    <xf numFmtId="2" fontId="9" fillId="6" borderId="15" xfId="2" applyNumberFormat="1" applyFont="1" applyFill="1" applyBorder="1" applyAlignment="1" applyProtection="1">
      <alignment horizontal="center" vertical="center" wrapText="1"/>
      <protection hidden="1"/>
    </xf>
    <xf numFmtId="2" fontId="9" fillId="6" borderId="16" xfId="2" applyNumberFormat="1" applyFont="1" applyFill="1" applyBorder="1" applyAlignment="1" applyProtection="1">
      <alignment horizontal="center" vertical="center" wrapText="1"/>
      <protection hidden="1"/>
    </xf>
    <xf numFmtId="2" fontId="13" fillId="6" borderId="8" xfId="0" applyNumberFormat="1" applyFont="1" applyFill="1" applyBorder="1" applyAlignment="1" applyProtection="1">
      <alignment horizontal="center" vertical="center" wrapText="1"/>
      <protection hidden="1"/>
    </xf>
    <xf numFmtId="2" fontId="13" fillId="6" borderId="12" xfId="0" applyNumberFormat="1" applyFont="1" applyFill="1" applyBorder="1" applyAlignment="1" applyProtection="1">
      <alignment horizontal="center" vertical="center" wrapText="1"/>
      <protection hidden="1"/>
    </xf>
    <xf numFmtId="2" fontId="8" fillId="6" borderId="63" xfId="0" applyNumberFormat="1" applyFont="1" applyFill="1" applyBorder="1" applyAlignment="1" applyProtection="1">
      <alignment horizontal="center"/>
      <protection hidden="1"/>
    </xf>
    <xf numFmtId="2" fontId="8" fillId="6" borderId="60" xfId="0" applyNumberFormat="1" applyFont="1" applyFill="1" applyBorder="1" applyAlignment="1" applyProtection="1">
      <alignment horizontal="center"/>
      <protection hidden="1"/>
    </xf>
    <xf numFmtId="2" fontId="8" fillId="6" borderId="67" xfId="0" applyNumberFormat="1" applyFont="1" applyFill="1" applyBorder="1" applyAlignment="1" applyProtection="1">
      <alignment horizontal="center"/>
      <protection hidden="1"/>
    </xf>
    <xf numFmtId="2" fontId="8" fillId="6" borderId="35" xfId="0" applyNumberFormat="1" applyFont="1" applyFill="1" applyBorder="1" applyAlignment="1" applyProtection="1">
      <alignment horizontal="center"/>
      <protection hidden="1"/>
    </xf>
    <xf numFmtId="2" fontId="8" fillId="6" borderId="61" xfId="0" applyNumberFormat="1" applyFont="1" applyFill="1" applyBorder="1" applyAlignment="1" applyProtection="1">
      <alignment horizontal="center"/>
      <protection hidden="1"/>
    </xf>
    <xf numFmtId="2" fontId="8" fillId="6" borderId="72" xfId="0" applyNumberFormat="1" applyFont="1" applyFill="1" applyBorder="1" applyAlignment="1" applyProtection="1">
      <alignment horizontal="center"/>
      <protection hidden="1"/>
    </xf>
    <xf numFmtId="2" fontId="8" fillId="6" borderId="65" xfId="0" applyNumberFormat="1" applyFont="1" applyFill="1" applyBorder="1" applyAlignment="1" applyProtection="1">
      <alignment horizontal="center"/>
      <protection hidden="1"/>
    </xf>
    <xf numFmtId="2" fontId="13" fillId="6" borderId="61" xfId="0" applyNumberFormat="1" applyFont="1" applyFill="1" applyBorder="1" applyAlignment="1" applyProtection="1">
      <alignment horizontal="center" vertical="center" wrapText="1"/>
      <protection hidden="1"/>
    </xf>
    <xf numFmtId="2" fontId="13" fillId="6" borderId="72" xfId="0" applyNumberFormat="1" applyFont="1" applyFill="1" applyBorder="1" applyAlignment="1" applyProtection="1">
      <alignment horizontal="center" vertical="center" wrapText="1"/>
      <protection hidden="1"/>
    </xf>
    <xf numFmtId="2" fontId="13" fillId="6" borderId="65" xfId="0"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13" fillId="6" borderId="66" xfId="0" applyNumberFormat="1" applyFont="1" applyFill="1" applyBorder="1" applyAlignment="1" applyProtection="1">
      <alignment horizontal="center" vertical="center" wrapText="1"/>
      <protection hidden="1"/>
    </xf>
    <xf numFmtId="2" fontId="5" fillId="6" borderId="48" xfId="0" applyNumberFormat="1" applyFont="1" applyFill="1" applyBorder="1" applyAlignment="1" applyProtection="1">
      <alignment horizontal="justify" vertical="center" wrapText="1"/>
      <protection hidden="1"/>
    </xf>
    <xf numFmtId="2" fontId="5" fillId="6" borderId="49" xfId="0" applyNumberFormat="1" applyFont="1" applyFill="1" applyBorder="1" applyAlignment="1" applyProtection="1">
      <alignment horizontal="justify" vertical="center" wrapText="1"/>
      <protection hidden="1"/>
    </xf>
    <xf numFmtId="2" fontId="9" fillId="6" borderId="2" xfId="2" applyNumberFormat="1" applyFont="1" applyFill="1" applyBorder="1" applyAlignment="1" applyProtection="1">
      <alignment horizontal="center" vertical="center"/>
      <protection hidden="1"/>
    </xf>
    <xf numFmtId="1" fontId="8" fillId="9" borderId="2" xfId="0" applyNumberFormat="1" applyFont="1" applyFill="1" applyBorder="1" applyAlignment="1" applyProtection="1">
      <alignment horizontal="center" vertical="center"/>
      <protection hidden="1"/>
    </xf>
    <xf numFmtId="1" fontId="8" fillId="9" borderId="66" xfId="0" applyNumberFormat="1" applyFont="1" applyFill="1" applyBorder="1" applyAlignment="1" applyProtection="1">
      <alignment horizontal="center" vertical="center"/>
      <protection hidden="1"/>
    </xf>
    <xf numFmtId="168" fontId="8" fillId="9" borderId="2" xfId="0" applyNumberFormat="1" applyFont="1" applyFill="1" applyBorder="1" applyAlignment="1" applyProtection="1">
      <alignment horizontal="center" vertical="center"/>
      <protection hidden="1"/>
    </xf>
    <xf numFmtId="168" fontId="8" fillId="9" borderId="66" xfId="0" applyNumberFormat="1" applyFont="1" applyFill="1" applyBorder="1" applyAlignment="1" applyProtection="1">
      <alignment horizontal="center" vertical="center"/>
      <protection hidden="1"/>
    </xf>
    <xf numFmtId="0" fontId="25" fillId="3" borderId="22" xfId="0" applyFont="1" applyFill="1" applyBorder="1" applyAlignment="1" applyProtection="1">
      <alignment horizontal="center" vertical="center"/>
      <protection hidden="1"/>
    </xf>
    <xf numFmtId="0" fontId="25" fillId="3" borderId="31" xfId="0" applyFont="1" applyFill="1" applyBorder="1" applyAlignment="1" applyProtection="1">
      <alignment horizontal="center" vertical="center"/>
      <protection hidden="1"/>
    </xf>
    <xf numFmtId="0" fontId="25" fillId="3" borderId="23" xfId="0" applyFont="1" applyFill="1" applyBorder="1" applyAlignment="1" applyProtection="1">
      <alignment horizontal="center" vertical="center"/>
      <protection hidden="1"/>
    </xf>
    <xf numFmtId="1" fontId="8" fillId="9" borderId="57" xfId="0" applyNumberFormat="1" applyFont="1" applyFill="1" applyBorder="1" applyAlignment="1" applyProtection="1">
      <alignment horizontal="center" vertical="center" wrapText="1"/>
      <protection hidden="1"/>
    </xf>
    <xf numFmtId="1" fontId="8" fillId="9" borderId="64" xfId="0" applyNumberFormat="1" applyFont="1" applyFill="1" applyBorder="1" applyAlignment="1" applyProtection="1">
      <alignment horizontal="center" vertical="center" wrapText="1"/>
      <protection hidden="1"/>
    </xf>
    <xf numFmtId="0" fontId="5" fillId="16" borderId="37" xfId="0" applyFont="1" applyFill="1" applyBorder="1" applyAlignment="1" applyProtection="1">
      <alignment horizontal="center" vertical="center" wrapText="1"/>
      <protection hidden="1"/>
    </xf>
    <xf numFmtId="0" fontId="5" fillId="16" borderId="13" xfId="0"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vertical="center" wrapText="1"/>
      <protection hidden="1"/>
    </xf>
    <xf numFmtId="2" fontId="8" fillId="6" borderId="16" xfId="0" applyNumberFormat="1"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protection hidden="1"/>
    </xf>
    <xf numFmtId="2" fontId="8" fillId="6" borderId="15" xfId="0" applyNumberFormat="1" applyFont="1" applyFill="1" applyBorder="1" applyAlignment="1" applyProtection="1">
      <alignment horizontal="center"/>
      <protection hidden="1"/>
    </xf>
    <xf numFmtId="2" fontId="8" fillId="6" borderId="73" xfId="0" applyNumberFormat="1" applyFont="1" applyFill="1" applyBorder="1" applyAlignment="1" applyProtection="1">
      <alignment horizontal="center"/>
      <protection hidden="1"/>
    </xf>
    <xf numFmtId="2" fontId="9" fillId="6" borderId="58" xfId="0" applyNumberFormat="1" applyFont="1" applyFill="1" applyBorder="1" applyAlignment="1" applyProtection="1">
      <alignment horizontal="center" vertical="center"/>
      <protection hidden="1"/>
    </xf>
    <xf numFmtId="2" fontId="9" fillId="6" borderId="51" xfId="0" applyNumberFormat="1" applyFont="1" applyFill="1" applyBorder="1" applyAlignment="1" applyProtection="1">
      <alignment horizontal="center" vertical="center"/>
      <protection hidden="1"/>
    </xf>
    <xf numFmtId="2" fontId="9" fillId="6" borderId="59" xfId="0" applyNumberFormat="1" applyFont="1" applyFill="1" applyBorder="1" applyAlignment="1" applyProtection="1">
      <alignment horizontal="center" vertical="center"/>
      <protection hidden="1"/>
    </xf>
    <xf numFmtId="2" fontId="5" fillId="6" borderId="63" xfId="0" applyNumberFormat="1" applyFont="1" applyFill="1" applyBorder="1" applyAlignment="1" applyProtection="1">
      <alignment horizontal="justify" vertical="center" wrapText="1"/>
      <protection hidden="1"/>
    </xf>
    <xf numFmtId="2" fontId="5" fillId="6" borderId="60" xfId="0" applyNumberFormat="1" applyFont="1" applyFill="1" applyBorder="1" applyAlignment="1" applyProtection="1">
      <alignment horizontal="justify" vertical="center" wrapText="1"/>
      <protection hidden="1"/>
    </xf>
    <xf numFmtId="2" fontId="5" fillId="6" borderId="13" xfId="0" applyNumberFormat="1" applyFont="1" applyFill="1" applyBorder="1" applyAlignment="1" applyProtection="1">
      <alignment horizontal="justify" vertical="center" wrapText="1"/>
      <protection hidden="1"/>
    </xf>
    <xf numFmtId="2" fontId="9" fillId="6" borderId="62" xfId="2" applyNumberFormat="1" applyFont="1" applyFill="1" applyBorder="1" applyAlignment="1" applyProtection="1">
      <alignment horizontal="center" vertical="center" wrapText="1"/>
      <protection hidden="1"/>
    </xf>
    <xf numFmtId="2" fontId="9" fillId="6" borderId="3" xfId="2" applyNumberFormat="1" applyFont="1" applyFill="1" applyBorder="1" applyAlignment="1" applyProtection="1">
      <alignment horizontal="center" vertical="center" wrapText="1"/>
      <protection hidden="1"/>
    </xf>
    <xf numFmtId="2" fontId="5" fillId="6" borderId="4" xfId="0" applyNumberFormat="1" applyFont="1" applyFill="1" applyBorder="1" applyAlignment="1" applyProtection="1">
      <alignment horizontal="justify" vertical="center" wrapText="1"/>
      <protection hidden="1"/>
    </xf>
    <xf numFmtId="2" fontId="5" fillId="6" borderId="5" xfId="0" applyNumberFormat="1" applyFont="1" applyFill="1" applyBorder="1" applyAlignment="1" applyProtection="1">
      <alignment horizontal="justify" vertical="center" wrapText="1"/>
      <protection hidden="1"/>
    </xf>
    <xf numFmtId="2" fontId="17" fillId="11" borderId="14" xfId="0" applyNumberFormat="1" applyFont="1" applyFill="1" applyBorder="1" applyAlignment="1" applyProtection="1">
      <alignment horizontal="center" vertical="center"/>
      <protection hidden="1"/>
    </xf>
    <xf numFmtId="2" fontId="17" fillId="11" borderId="15" xfId="0" applyNumberFormat="1" applyFont="1" applyFill="1" applyBorder="1" applyAlignment="1" applyProtection="1">
      <alignment horizontal="center" vertical="center"/>
      <protection hidden="1"/>
    </xf>
    <xf numFmtId="2" fontId="17" fillId="11" borderId="16" xfId="0" applyNumberFormat="1" applyFont="1" applyFill="1" applyBorder="1" applyAlignment="1" applyProtection="1">
      <alignment horizontal="center" vertical="center"/>
      <protection hidden="1"/>
    </xf>
    <xf numFmtId="2" fontId="8" fillId="2" borderId="0" xfId="0" applyNumberFormat="1" applyFont="1" applyFill="1" applyBorder="1" applyAlignment="1" applyProtection="1">
      <alignment horizontal="center" vertical="center" wrapText="1"/>
      <protection hidden="1"/>
    </xf>
    <xf numFmtId="2" fontId="22" fillId="3" borderId="14" xfId="0" applyNumberFormat="1" applyFont="1" applyFill="1" applyBorder="1" applyAlignment="1" applyProtection="1">
      <alignment horizontal="center" vertical="center"/>
      <protection hidden="1"/>
    </xf>
    <xf numFmtId="2" fontId="22" fillId="3" borderId="15" xfId="0" applyNumberFormat="1" applyFont="1" applyFill="1" applyBorder="1" applyAlignment="1" applyProtection="1">
      <alignment horizontal="center" vertical="center"/>
      <protection hidden="1"/>
    </xf>
    <xf numFmtId="2" fontId="22" fillId="3" borderId="16" xfId="0" applyNumberFormat="1" applyFont="1" applyFill="1" applyBorder="1" applyAlignment="1" applyProtection="1">
      <alignment horizontal="center" vertical="center"/>
      <protection hidden="1"/>
    </xf>
    <xf numFmtId="2" fontId="25" fillId="3" borderId="14" xfId="0" applyNumberFormat="1" applyFont="1" applyFill="1" applyBorder="1" applyAlignment="1" applyProtection="1">
      <alignment horizontal="center" vertical="center" wrapText="1"/>
      <protection hidden="1"/>
    </xf>
    <xf numFmtId="2" fontId="25" fillId="3" borderId="15" xfId="0" applyNumberFormat="1" applyFont="1" applyFill="1" applyBorder="1" applyAlignment="1" applyProtection="1">
      <alignment horizontal="center" vertical="center" wrapText="1"/>
      <protection hidden="1"/>
    </xf>
    <xf numFmtId="2" fontId="25" fillId="3" borderId="16" xfId="0" applyNumberFormat="1" applyFont="1" applyFill="1" applyBorder="1" applyAlignment="1" applyProtection="1">
      <alignment horizontal="center" vertical="center" wrapText="1"/>
      <protection hidden="1"/>
    </xf>
    <xf numFmtId="2" fontId="17" fillId="6" borderId="51" xfId="0" applyNumberFormat="1" applyFont="1" applyFill="1" applyBorder="1" applyAlignment="1" applyProtection="1">
      <alignment horizontal="center" vertical="center"/>
      <protection hidden="1"/>
    </xf>
    <xf numFmtId="2" fontId="17" fillId="6" borderId="49" xfId="0" applyNumberFormat="1" applyFont="1" applyFill="1" applyBorder="1" applyAlignment="1" applyProtection="1">
      <alignment horizontal="center" vertical="center"/>
      <protection hidden="1"/>
    </xf>
    <xf numFmtId="2" fontId="13" fillId="6" borderId="59" xfId="0" applyNumberFormat="1" applyFont="1" applyFill="1" applyBorder="1" applyAlignment="1" applyProtection="1">
      <alignment horizontal="center" vertical="center" wrapText="1"/>
      <protection hidden="1"/>
    </xf>
    <xf numFmtId="2" fontId="13" fillId="6" borderId="50" xfId="0" applyNumberFormat="1" applyFont="1" applyFill="1" applyBorder="1" applyAlignment="1" applyProtection="1">
      <alignment horizontal="center" vertical="center" wrapText="1"/>
      <protection hidden="1"/>
    </xf>
    <xf numFmtId="2" fontId="25" fillId="3" borderId="23" xfId="0" applyNumberFormat="1" applyFont="1" applyFill="1" applyBorder="1" applyAlignment="1" applyProtection="1">
      <alignment horizontal="center" vertical="center"/>
      <protection hidden="1"/>
    </xf>
    <xf numFmtId="0" fontId="10" fillId="6" borderId="4" xfId="0" applyFont="1" applyFill="1" applyBorder="1" applyAlignment="1" applyProtection="1">
      <alignment horizontal="center"/>
      <protection hidden="1"/>
    </xf>
    <xf numFmtId="0" fontId="10" fillId="6" borderId="57" xfId="0" applyFont="1" applyFill="1" applyBorder="1" applyAlignment="1" applyProtection="1">
      <alignment horizontal="center"/>
      <protection hidden="1"/>
    </xf>
    <xf numFmtId="0" fontId="8" fillId="6" borderId="41" xfId="0" applyFont="1" applyFill="1" applyBorder="1" applyAlignment="1" applyProtection="1">
      <alignment horizontal="center"/>
      <protection hidden="1"/>
    </xf>
    <xf numFmtId="0" fontId="8" fillId="6" borderId="2" xfId="0" applyFont="1" applyFill="1" applyBorder="1" applyAlignment="1" applyProtection="1">
      <alignment horizontal="center"/>
      <protection hidden="1"/>
    </xf>
    <xf numFmtId="2" fontId="8" fillId="6" borderId="76" xfId="0" applyNumberFormat="1" applyFont="1" applyFill="1" applyBorder="1" applyAlignment="1" applyProtection="1">
      <alignment horizontal="center" vertical="center"/>
      <protection hidden="1"/>
    </xf>
    <xf numFmtId="2" fontId="8" fillId="6" borderId="27" xfId="0" applyNumberFormat="1" applyFont="1" applyFill="1" applyBorder="1" applyAlignment="1" applyProtection="1">
      <alignment horizontal="center" vertical="center"/>
      <protection hidden="1"/>
    </xf>
    <xf numFmtId="2" fontId="8" fillId="6" borderId="77" xfId="0" applyNumberFormat="1" applyFont="1" applyFill="1" applyBorder="1" applyAlignment="1" applyProtection="1">
      <alignment horizontal="center" vertical="center"/>
      <protection hidden="1"/>
    </xf>
    <xf numFmtId="2" fontId="8" fillId="6" borderId="35" xfId="0" applyNumberFormat="1" applyFont="1" applyFill="1" applyBorder="1" applyAlignment="1" applyProtection="1">
      <alignment horizontal="center" vertical="center"/>
      <protection hidden="1"/>
    </xf>
    <xf numFmtId="2" fontId="8" fillId="6" borderId="16" xfId="0" applyNumberFormat="1" applyFont="1" applyFill="1" applyBorder="1" applyAlignment="1" applyProtection="1">
      <alignment horizontal="center" vertical="center"/>
      <protection hidden="1"/>
    </xf>
    <xf numFmtId="2" fontId="13" fillId="6" borderId="21" xfId="0" applyNumberFormat="1" applyFont="1" applyFill="1" applyBorder="1" applyAlignment="1" applyProtection="1">
      <alignment horizontal="center" vertical="center" wrapText="1"/>
      <protection hidden="1"/>
    </xf>
    <xf numFmtId="2" fontId="13" fillId="6" borderId="40" xfId="0" applyNumberFormat="1" applyFont="1" applyFill="1" applyBorder="1" applyAlignment="1" applyProtection="1">
      <alignment horizontal="center" vertical="center" wrapText="1"/>
      <protection hidden="1"/>
    </xf>
    <xf numFmtId="2" fontId="8" fillId="0" borderId="22" xfId="0" applyNumberFormat="1" applyFont="1" applyBorder="1" applyAlignment="1" applyProtection="1">
      <alignment horizontal="center"/>
      <protection hidden="1"/>
    </xf>
    <xf numFmtId="2" fontId="8" fillId="0" borderId="31" xfId="0" applyNumberFormat="1" applyFont="1" applyBorder="1" applyAlignment="1" applyProtection="1">
      <alignment horizontal="center"/>
      <protection hidden="1"/>
    </xf>
    <xf numFmtId="2" fontId="8" fillId="0" borderId="23" xfId="0" applyNumberFormat="1" applyFont="1" applyBorder="1" applyAlignment="1" applyProtection="1">
      <alignment horizontal="left" vertical="center"/>
      <protection hidden="1"/>
    </xf>
    <xf numFmtId="2" fontId="8" fillId="0" borderId="24" xfId="0" applyNumberFormat="1" applyFont="1" applyBorder="1" applyAlignment="1" applyProtection="1">
      <alignment horizontal="center"/>
      <protection hidden="1"/>
    </xf>
    <xf numFmtId="2" fontId="8" fillId="0" borderId="0" xfId="0" applyNumberFormat="1" applyFont="1" applyBorder="1" applyAlignment="1" applyProtection="1">
      <alignment horizontal="center"/>
      <protection hidden="1"/>
    </xf>
    <xf numFmtId="2" fontId="8" fillId="0" borderId="38" xfId="0" applyNumberFormat="1" applyFont="1" applyBorder="1" applyAlignment="1" applyProtection="1">
      <alignment horizontal="center"/>
      <protection hidden="1"/>
    </xf>
    <xf numFmtId="2" fontId="8" fillId="0" borderId="35" xfId="0" applyNumberFormat="1" applyFont="1" applyBorder="1" applyAlignment="1" applyProtection="1">
      <alignment horizontal="center"/>
      <protection hidden="1"/>
    </xf>
    <xf numFmtId="2" fontId="78" fillId="0" borderId="22" xfId="0" applyNumberFormat="1" applyFont="1" applyFill="1" applyBorder="1" applyAlignment="1" applyProtection="1">
      <alignment horizontal="center" vertical="center" wrapText="1"/>
      <protection hidden="1"/>
    </xf>
    <xf numFmtId="2" fontId="78" fillId="0" borderId="31" xfId="0" applyNumberFormat="1" applyFont="1" applyFill="1" applyBorder="1" applyAlignment="1" applyProtection="1">
      <alignment horizontal="center" vertical="center" wrapText="1"/>
      <protection hidden="1"/>
    </xf>
    <xf numFmtId="2" fontId="78" fillId="0" borderId="23" xfId="0" applyNumberFormat="1" applyFont="1" applyFill="1" applyBorder="1" applyAlignment="1" applyProtection="1">
      <alignment horizontal="center" vertical="center" wrapText="1"/>
      <protection hidden="1"/>
    </xf>
    <xf numFmtId="2" fontId="78" fillId="0" borderId="24" xfId="0" applyNumberFormat="1" applyFont="1" applyFill="1" applyBorder="1" applyAlignment="1" applyProtection="1">
      <alignment horizontal="center" vertical="center" wrapText="1"/>
      <protection hidden="1"/>
    </xf>
    <xf numFmtId="2" fontId="78" fillId="0" borderId="0" xfId="0" applyNumberFormat="1" applyFont="1" applyFill="1" applyBorder="1" applyAlignment="1" applyProtection="1">
      <alignment horizontal="center" vertical="center" wrapText="1"/>
      <protection hidden="1"/>
    </xf>
    <xf numFmtId="2" fontId="78" fillId="0" borderId="38" xfId="0" applyNumberFormat="1" applyFont="1" applyFill="1" applyBorder="1" applyAlignment="1" applyProtection="1">
      <alignment horizontal="center" vertical="center" wrapText="1"/>
      <protection hidden="1"/>
    </xf>
    <xf numFmtId="2" fontId="78" fillId="0" borderId="21" xfId="0" applyNumberFormat="1" applyFont="1" applyFill="1" applyBorder="1" applyAlignment="1" applyProtection="1">
      <alignment horizontal="center" vertical="center" wrapText="1"/>
      <protection hidden="1"/>
    </xf>
    <xf numFmtId="2" fontId="78" fillId="0" borderId="40" xfId="0" applyNumberFormat="1" applyFont="1" applyFill="1" applyBorder="1" applyAlignment="1" applyProtection="1">
      <alignment horizontal="center" vertical="center" wrapText="1"/>
      <protection hidden="1"/>
    </xf>
    <xf numFmtId="2" fontId="78" fillId="0" borderId="6" xfId="0" applyNumberFormat="1" applyFont="1" applyFill="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7" fillId="6" borderId="33" xfId="0" applyNumberFormat="1" applyFont="1" applyFill="1" applyBorder="1" applyAlignment="1" applyProtection="1">
      <alignment horizontal="center" vertical="center" wrapText="1"/>
      <protection hidden="1"/>
    </xf>
    <xf numFmtId="2" fontId="17" fillId="6" borderId="34" xfId="0" applyNumberFormat="1" applyFont="1" applyFill="1" applyBorder="1" applyAlignment="1" applyProtection="1">
      <alignment horizontal="center" vertical="center" wrapText="1"/>
      <protection hidden="1"/>
    </xf>
    <xf numFmtId="2" fontId="46" fillId="6" borderId="33" xfId="0" applyNumberFormat="1" applyFont="1" applyFill="1" applyBorder="1" applyAlignment="1" applyProtection="1">
      <alignment horizontal="center" vertical="center"/>
      <protection hidden="1"/>
    </xf>
    <xf numFmtId="2" fontId="46" fillId="6" borderId="34" xfId="0" applyNumberFormat="1" applyFont="1" applyFill="1" applyBorder="1" applyAlignment="1" applyProtection="1">
      <alignment horizontal="center" vertical="center"/>
      <protection hidden="1"/>
    </xf>
    <xf numFmtId="2" fontId="47" fillId="3" borderId="61" xfId="0" applyNumberFormat="1" applyFont="1" applyFill="1" applyBorder="1" applyAlignment="1" applyProtection="1">
      <alignment horizontal="center" vertical="center"/>
      <protection hidden="1"/>
    </xf>
    <xf numFmtId="2" fontId="47" fillId="3" borderId="72" xfId="0" applyNumberFormat="1" applyFont="1" applyFill="1" applyBorder="1" applyAlignment="1" applyProtection="1">
      <alignment horizontal="center" vertical="center"/>
      <protection hidden="1"/>
    </xf>
    <xf numFmtId="2" fontId="47" fillId="3" borderId="65" xfId="0" applyNumberFormat="1" applyFont="1" applyFill="1" applyBorder="1" applyAlignment="1" applyProtection="1">
      <alignment horizontal="center" vertical="center"/>
      <protection hidden="1"/>
    </xf>
    <xf numFmtId="2" fontId="17" fillId="6" borderId="5" xfId="0" applyNumberFormat="1" applyFont="1" applyFill="1" applyBorder="1" applyAlignment="1" applyProtection="1">
      <alignment horizontal="center" vertical="center"/>
      <protection hidden="1"/>
    </xf>
    <xf numFmtId="2" fontId="17" fillId="6" borderId="32" xfId="0" applyNumberFormat="1" applyFont="1" applyFill="1" applyBorder="1" applyAlignment="1" applyProtection="1">
      <alignment horizontal="center" vertical="center"/>
      <protection hidden="1"/>
    </xf>
    <xf numFmtId="2" fontId="9" fillId="6" borderId="62" xfId="2" applyNumberFormat="1" applyFont="1" applyFill="1" applyBorder="1" applyAlignment="1" applyProtection="1">
      <alignment horizontal="center" vertical="center"/>
      <protection locked="0" hidden="1"/>
    </xf>
    <xf numFmtId="2" fontId="9" fillId="6" borderId="3" xfId="2" applyNumberFormat="1" applyFont="1" applyFill="1" applyBorder="1" applyAlignment="1" applyProtection="1">
      <alignment horizontal="center" vertical="center"/>
      <protection locked="0" hidden="1"/>
    </xf>
    <xf numFmtId="2" fontId="9" fillId="6" borderId="63" xfId="2" applyNumberFormat="1" applyFont="1" applyFill="1" applyBorder="1" applyAlignment="1" applyProtection="1">
      <alignment horizontal="center" vertical="center" wrapText="1"/>
      <protection hidden="1"/>
    </xf>
    <xf numFmtId="2" fontId="9" fillId="6" borderId="13" xfId="2" applyNumberFormat="1" applyFont="1" applyFill="1" applyBorder="1" applyAlignment="1" applyProtection="1">
      <alignment horizontal="center" vertical="center" wrapText="1"/>
      <protection hidden="1"/>
    </xf>
    <xf numFmtId="2" fontId="46" fillId="8" borderId="15" xfId="0" applyNumberFormat="1" applyFont="1" applyFill="1" applyBorder="1" applyAlignment="1" applyProtection="1">
      <alignment horizontal="center" vertical="center" wrapText="1"/>
      <protection hidden="1"/>
    </xf>
    <xf numFmtId="2" fontId="46" fillId="8" borderId="16" xfId="0" applyNumberFormat="1" applyFont="1" applyFill="1" applyBorder="1" applyAlignment="1" applyProtection="1">
      <alignment horizontal="center" vertical="center" wrapText="1"/>
      <protection hidden="1"/>
    </xf>
    <xf numFmtId="2" fontId="13" fillId="6" borderId="63" xfId="0" applyNumberFormat="1" applyFont="1" applyFill="1" applyBorder="1" applyAlignment="1" applyProtection="1">
      <alignment horizontal="center" vertical="center"/>
      <protection hidden="1"/>
    </xf>
    <xf numFmtId="2" fontId="13" fillId="6" borderId="13" xfId="0" applyNumberFormat="1" applyFont="1" applyFill="1" applyBorder="1" applyAlignment="1" applyProtection="1">
      <alignment horizontal="center" vertical="center"/>
      <protection hidden="1"/>
    </xf>
    <xf numFmtId="2" fontId="8" fillId="9" borderId="37" xfId="0" applyNumberFormat="1" applyFont="1" applyFill="1" applyBorder="1" applyAlignment="1" applyProtection="1">
      <alignment horizontal="center" vertical="center"/>
      <protection hidden="1"/>
    </xf>
    <xf numFmtId="2" fontId="8" fillId="9" borderId="67" xfId="0" applyNumberFormat="1" applyFont="1" applyFill="1" applyBorder="1" applyAlignment="1" applyProtection="1">
      <alignment horizontal="center" vertical="center"/>
      <protection hidden="1"/>
    </xf>
    <xf numFmtId="2" fontId="13" fillId="6" borderId="22" xfId="0" applyNumberFormat="1" applyFont="1" applyFill="1" applyBorder="1" applyAlignment="1" applyProtection="1">
      <alignment horizontal="center" vertical="center" wrapText="1"/>
      <protection hidden="1"/>
    </xf>
    <xf numFmtId="2" fontId="13" fillId="6" borderId="23" xfId="0"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protection hidden="1"/>
    </xf>
    <xf numFmtId="2" fontId="25" fillId="8" borderId="15" xfId="0" applyNumberFormat="1" applyFont="1" applyFill="1" applyBorder="1" applyAlignment="1" applyProtection="1">
      <alignment horizontal="center" vertical="center"/>
      <protection hidden="1"/>
    </xf>
    <xf numFmtId="2" fontId="25" fillId="8" borderId="16" xfId="0" applyNumberFormat="1" applyFont="1" applyFill="1" applyBorder="1" applyAlignment="1" applyProtection="1">
      <alignment horizontal="center" vertical="center"/>
      <protection hidden="1"/>
    </xf>
    <xf numFmtId="0" fontId="41" fillId="8" borderId="14" xfId="0" applyFont="1" applyFill="1" applyBorder="1" applyAlignment="1" applyProtection="1">
      <alignment horizontal="center" vertical="center" wrapText="1"/>
      <protection hidden="1"/>
    </xf>
    <xf numFmtId="0" fontId="41" fillId="8" borderId="15" xfId="0" applyFont="1" applyFill="1" applyBorder="1" applyAlignment="1" applyProtection="1">
      <alignment horizontal="center" vertical="center" wrapText="1"/>
      <protection hidden="1"/>
    </xf>
    <xf numFmtId="0" fontId="41" fillId="8" borderId="16" xfId="0" applyFont="1" applyFill="1" applyBorder="1" applyAlignment="1" applyProtection="1">
      <alignment horizontal="center" vertical="center" wrapText="1"/>
      <protection hidden="1"/>
    </xf>
    <xf numFmtId="0" fontId="13" fillId="24" borderId="14" xfId="0" applyFont="1" applyFill="1" applyBorder="1" applyAlignment="1">
      <alignment horizontal="center"/>
    </xf>
    <xf numFmtId="0" fontId="13" fillId="24" borderId="15" xfId="0" applyFont="1" applyFill="1" applyBorder="1" applyAlignment="1">
      <alignment horizontal="center"/>
    </xf>
    <xf numFmtId="0" fontId="13" fillId="24" borderId="16" xfId="0" applyFont="1" applyFill="1" applyBorder="1" applyAlignment="1">
      <alignment horizontal="center"/>
    </xf>
    <xf numFmtId="0" fontId="13" fillId="0" borderId="22" xfId="0" applyFont="1" applyBorder="1" applyAlignment="1">
      <alignment horizontal="center"/>
    </xf>
    <xf numFmtId="0" fontId="13" fillId="0" borderId="31" xfId="0" applyFont="1" applyBorder="1" applyAlignment="1">
      <alignment horizontal="center"/>
    </xf>
    <xf numFmtId="0" fontId="13" fillId="0" borderId="23" xfId="0" applyFont="1" applyBorder="1" applyAlignment="1">
      <alignment horizontal="center"/>
    </xf>
    <xf numFmtId="0" fontId="0" fillId="0" borderId="1" xfId="0" applyBorder="1" applyAlignment="1">
      <alignment horizontal="center"/>
    </xf>
    <xf numFmtId="0" fontId="0" fillId="0" borderId="1" xfId="0" applyBorder="1" applyAlignment="1">
      <alignment horizontal="left" vertical="center"/>
    </xf>
    <xf numFmtId="2" fontId="65" fillId="0" borderId="2" xfId="0" applyNumberFormat="1" applyFont="1" applyBorder="1" applyAlignment="1">
      <alignment horizontal="center" vertical="center" wrapText="1"/>
    </xf>
    <xf numFmtId="0" fontId="65" fillId="0" borderId="19" xfId="0" applyFont="1" applyBorder="1" applyAlignment="1">
      <alignment horizontal="center" vertical="center" wrapText="1"/>
    </xf>
    <xf numFmtId="0" fontId="65" fillId="0" borderId="3" xfId="0" applyFont="1" applyBorder="1" applyAlignment="1">
      <alignment horizontal="center" vertical="center" wrapText="1"/>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16" fillId="0" borderId="33"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34" xfId="0" applyFont="1" applyBorder="1" applyAlignment="1">
      <alignment horizontal="center" vertical="center" wrapText="1"/>
    </xf>
    <xf numFmtId="170" fontId="0" fillId="0" borderId="32" xfId="0" applyNumberFormat="1" applyBorder="1" applyAlignment="1">
      <alignment horizontal="center" vertical="center"/>
    </xf>
    <xf numFmtId="170" fontId="0" fillId="0" borderId="26" xfId="0" applyNumberFormat="1" applyBorder="1" applyAlignment="1">
      <alignment horizontal="center" vertical="center"/>
    </xf>
    <xf numFmtId="170" fontId="0" fillId="0" borderId="49" xfId="0" applyNumberFormat="1" applyBorder="1" applyAlignment="1">
      <alignment horizontal="center" vertical="center"/>
    </xf>
    <xf numFmtId="170" fontId="0" fillId="24" borderId="32" xfId="0" applyNumberFormat="1" applyFill="1" applyBorder="1" applyAlignment="1">
      <alignment horizontal="center" vertical="center"/>
    </xf>
    <xf numFmtId="170" fontId="0" fillId="24" borderId="26" xfId="0" applyNumberFormat="1" applyFill="1" applyBorder="1" applyAlignment="1">
      <alignment horizontal="center" vertical="center"/>
    </xf>
    <xf numFmtId="170" fontId="0" fillId="24" borderId="49" xfId="0" applyNumberFormat="1" applyFill="1" applyBorder="1" applyAlignment="1">
      <alignment horizontal="center" vertical="center"/>
    </xf>
    <xf numFmtId="0" fontId="13" fillId="24" borderId="14" xfId="0" applyFont="1" applyFill="1" applyBorder="1" applyAlignment="1">
      <alignment horizontal="center" vertical="center" wrapText="1"/>
    </xf>
    <xf numFmtId="0" fontId="13" fillId="24" borderId="15" xfId="0" applyFont="1" applyFill="1" applyBorder="1" applyAlignment="1">
      <alignment horizontal="center" vertical="center" wrapText="1"/>
    </xf>
    <xf numFmtId="0" fontId="13" fillId="24" borderId="16" xfId="0" applyFont="1" applyFill="1" applyBorder="1" applyAlignment="1">
      <alignment horizontal="center" vertical="center" wrapText="1"/>
    </xf>
    <xf numFmtId="0" fontId="7" fillId="0" borderId="25" xfId="0" applyFont="1" applyBorder="1" applyAlignment="1">
      <alignment horizontal="center"/>
    </xf>
    <xf numFmtId="0" fontId="7" fillId="0" borderId="27" xfId="0" applyFont="1" applyBorder="1" applyAlignment="1">
      <alignment horizont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30" xfId="0" applyFont="1" applyBorder="1" applyAlignment="1">
      <alignment horizontal="center"/>
    </xf>
    <xf numFmtId="0" fontId="7" fillId="0" borderId="0" xfId="0" applyFont="1" applyBorder="1" applyAlignment="1">
      <alignment horizontal="center"/>
    </xf>
    <xf numFmtId="0" fontId="7" fillId="0" borderId="29" xfId="0" applyFont="1" applyBorder="1" applyAlignment="1">
      <alignment horizontal="center"/>
    </xf>
    <xf numFmtId="0" fontId="7" fillId="0" borderId="20" xfId="0" applyFont="1" applyBorder="1" applyAlignment="1">
      <alignment horizontal="center"/>
    </xf>
    <xf numFmtId="2" fontId="64" fillId="0" borderId="25" xfId="0" applyNumberFormat="1"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79" xfId="0" applyFont="1" applyBorder="1" applyAlignment="1">
      <alignment horizontal="center" vertical="center" wrapText="1"/>
    </xf>
    <xf numFmtId="0" fontId="64" fillId="0" borderId="18" xfId="0" applyFont="1" applyBorder="1" applyAlignment="1">
      <alignment horizontal="center" vertical="center" wrapText="1"/>
    </xf>
    <xf numFmtId="169" fontId="5" fillId="24" borderId="14" xfId="0" applyNumberFormat="1" applyFont="1" applyFill="1" applyBorder="1" applyAlignment="1" applyProtection="1">
      <alignment horizontal="center" vertical="center" wrapText="1"/>
      <protection hidden="1"/>
    </xf>
    <xf numFmtId="169" fontId="5" fillId="24" borderId="73" xfId="0" applyNumberFormat="1" applyFont="1" applyFill="1" applyBorder="1" applyAlignment="1" applyProtection="1">
      <alignment horizontal="center" vertical="center" wrapText="1"/>
      <protection hidden="1"/>
    </xf>
    <xf numFmtId="169" fontId="6" fillId="2" borderId="61" xfId="0" applyNumberFormat="1" applyFont="1" applyFill="1" applyBorder="1" applyAlignment="1" applyProtection="1">
      <alignment horizontal="center" vertical="center" wrapText="1"/>
      <protection hidden="1"/>
    </xf>
    <xf numFmtId="169" fontId="6" fillId="2" borderId="64" xfId="0" applyNumberFormat="1" applyFont="1" applyFill="1" applyBorder="1" applyAlignment="1" applyProtection="1">
      <alignment horizontal="center" vertical="center" wrapText="1"/>
      <protection hidden="1"/>
    </xf>
    <xf numFmtId="169" fontId="6" fillId="2" borderId="63" xfId="0" applyNumberFormat="1" applyFont="1" applyFill="1" applyBorder="1" applyAlignment="1" applyProtection="1">
      <alignment horizontal="center" vertical="center" wrapText="1"/>
      <protection hidden="1"/>
    </xf>
    <xf numFmtId="169" fontId="6" fillId="2" borderId="13" xfId="0" applyNumberFormat="1" applyFont="1" applyFill="1" applyBorder="1" applyAlignment="1" applyProtection="1">
      <alignment horizontal="center" vertical="center" wrapText="1"/>
      <protection hidden="1"/>
    </xf>
    <xf numFmtId="168" fontId="42" fillId="0" borderId="22" xfId="0" applyNumberFormat="1" applyFont="1" applyBorder="1" applyAlignment="1" applyProtection="1">
      <alignment horizontal="center" vertical="center"/>
      <protection locked="0"/>
    </xf>
    <xf numFmtId="168" fontId="42" fillId="0" borderId="24" xfId="0" applyNumberFormat="1" applyFont="1" applyBorder="1" applyAlignment="1" applyProtection="1">
      <alignment horizontal="center" vertical="center"/>
      <protection locked="0"/>
    </xf>
    <xf numFmtId="168" fontId="42" fillId="0" borderId="21" xfId="0" applyNumberFormat="1" applyFont="1" applyBorder="1" applyAlignment="1" applyProtection="1">
      <alignment horizontal="center" vertical="center"/>
      <protection locked="0"/>
    </xf>
    <xf numFmtId="0" fontId="7" fillId="0" borderId="1" xfId="0" applyFont="1" applyBorder="1" applyAlignment="1">
      <alignment horizontal="center"/>
    </xf>
    <xf numFmtId="2" fontId="65" fillId="0" borderId="1" xfId="0" applyNumberFormat="1" applyFont="1" applyBorder="1" applyAlignment="1">
      <alignment horizontal="center" vertical="center" wrapText="1"/>
    </xf>
    <xf numFmtId="0" fontId="65" fillId="0" borderId="1" xfId="0" applyFont="1" applyBorder="1" applyAlignment="1">
      <alignment horizontal="center" vertical="center" wrapText="1"/>
    </xf>
    <xf numFmtId="0" fontId="52" fillId="8" borderId="24" xfId="0" applyFont="1" applyFill="1" applyBorder="1" applyAlignment="1">
      <alignment horizontal="center" vertical="center" wrapText="1"/>
    </xf>
    <xf numFmtId="0" fontId="0" fillId="0" borderId="0" xfId="0" applyAlignment="1">
      <alignment horizontal="center" vertical="center" wrapText="1"/>
    </xf>
    <xf numFmtId="185" fontId="29" fillId="2" borderId="7" xfId="0" applyNumberFormat="1" applyFont="1" applyFill="1" applyBorder="1" applyAlignment="1" applyProtection="1">
      <alignment horizontal="center" vertical="center" wrapText="1"/>
      <protection hidden="1"/>
    </xf>
    <xf numFmtId="185" fontId="29" fillId="2" borderId="8" xfId="0" applyNumberFormat="1" applyFont="1" applyFill="1" applyBorder="1" applyAlignment="1" applyProtection="1">
      <alignment horizontal="center" vertical="center" wrapText="1"/>
      <protection hidden="1"/>
    </xf>
    <xf numFmtId="2" fontId="26" fillId="2" borderId="35" xfId="0" applyNumberFormat="1" applyFont="1" applyFill="1" applyBorder="1" applyAlignment="1" applyProtection="1">
      <alignment horizontal="center" vertical="center" wrapText="1"/>
      <protection hidden="1"/>
    </xf>
    <xf numFmtId="0" fontId="44" fillId="2" borderId="0" xfId="0" applyFont="1" applyFill="1" applyAlignment="1" applyProtection="1">
      <alignment horizontal="justify" vertical="center" wrapText="1"/>
      <protection locked="0" hidden="1"/>
    </xf>
    <xf numFmtId="169" fontId="9" fillId="2" borderId="14" xfId="0" applyNumberFormat="1" applyFont="1" applyFill="1" applyBorder="1" applyAlignment="1" applyProtection="1">
      <alignment horizontal="center" vertical="center" wrapText="1"/>
      <protection hidden="1"/>
    </xf>
    <xf numFmtId="169" fontId="9" fillId="2" borderId="73" xfId="0" applyNumberFormat="1" applyFont="1" applyFill="1" applyBorder="1" applyAlignment="1" applyProtection="1">
      <alignment horizontal="center" vertical="center" wrapText="1"/>
      <protection hidden="1"/>
    </xf>
    <xf numFmtId="169" fontId="14" fillId="2" borderId="61" xfId="0" applyNumberFormat="1" applyFont="1" applyFill="1" applyBorder="1" applyAlignment="1" applyProtection="1">
      <alignment horizontal="center" vertical="center" wrapText="1"/>
      <protection hidden="1"/>
    </xf>
    <xf numFmtId="169" fontId="14" fillId="2" borderId="64" xfId="0" applyNumberFormat="1" applyFont="1" applyFill="1" applyBorder="1" applyAlignment="1" applyProtection="1">
      <alignment horizontal="center" vertical="center" wrapText="1"/>
      <protection hidden="1"/>
    </xf>
    <xf numFmtId="0" fontId="26" fillId="0" borderId="0" xfId="0" applyFont="1" applyBorder="1" applyAlignment="1" applyProtection="1">
      <alignment horizontal="center"/>
      <protection hidden="1"/>
    </xf>
    <xf numFmtId="0" fontId="29" fillId="2" borderId="0" xfId="0" applyFont="1" applyFill="1" applyAlignment="1" applyProtection="1">
      <alignment horizontal="justify" vertical="center" wrapText="1"/>
      <protection locked="0" hidden="1"/>
    </xf>
    <xf numFmtId="0" fontId="29" fillId="2" borderId="0" xfId="0" applyFont="1" applyFill="1" applyBorder="1" applyAlignment="1" applyProtection="1">
      <alignment horizontal="center"/>
      <protection hidden="1"/>
    </xf>
    <xf numFmtId="0" fontId="26" fillId="2" borderId="0" xfId="0" applyFont="1" applyFill="1" applyAlignment="1" applyProtection="1">
      <alignment horizontal="center" vertical="center" wrapText="1"/>
      <protection hidden="1"/>
    </xf>
    <xf numFmtId="0" fontId="29" fillId="2" borderId="0" xfId="0" applyFont="1" applyFill="1" applyAlignment="1" applyProtection="1">
      <alignment horizontal="center" vertical="center" wrapText="1"/>
      <protection hidden="1"/>
    </xf>
    <xf numFmtId="168" fontId="29" fillId="0" borderId="0" xfId="0" applyNumberFormat="1" applyFont="1" applyAlignment="1" applyProtection="1">
      <alignment horizontal="right" vertical="center"/>
      <protection hidden="1"/>
    </xf>
    <xf numFmtId="0" fontId="29" fillId="0" borderId="0" xfId="0" applyFont="1" applyAlignment="1" applyProtection="1">
      <alignment horizontal="right" vertical="center"/>
      <protection hidden="1"/>
    </xf>
    <xf numFmtId="0" fontId="44" fillId="0" borderId="0" xfId="0" applyFont="1" applyFill="1" applyAlignment="1" applyProtection="1">
      <alignment horizontal="justify" vertical="center" wrapText="1"/>
      <protection hidden="1"/>
    </xf>
    <xf numFmtId="0" fontId="29" fillId="0" borderId="0" xfId="0" applyFont="1" applyFill="1" applyAlignment="1" applyProtection="1">
      <alignment horizontal="justify" vertical="center" wrapText="1"/>
      <protection locked="0" hidden="1"/>
    </xf>
    <xf numFmtId="0" fontId="26" fillId="0" borderId="9" xfId="0" applyFont="1" applyBorder="1" applyAlignment="1" applyProtection="1">
      <alignment horizontal="center" vertical="center"/>
      <protection hidden="1"/>
    </xf>
    <xf numFmtId="0" fontId="26" fillId="0" borderId="73"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6" fillId="0" borderId="47" xfId="0" applyFont="1" applyBorder="1" applyAlignment="1" applyProtection="1">
      <alignment horizontal="center" vertical="center"/>
      <protection hidden="1"/>
    </xf>
    <xf numFmtId="0" fontId="29" fillId="0" borderId="0" xfId="0" applyFont="1" applyFill="1" applyAlignment="1" applyProtection="1">
      <alignment horizontal="left" vertical="top" wrapText="1"/>
      <protection hidden="1"/>
    </xf>
    <xf numFmtId="0" fontId="26" fillId="2" borderId="0" xfId="0" applyFont="1" applyFill="1" applyBorder="1" applyAlignment="1" applyProtection="1">
      <alignment horizontal="left"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44" fillId="2" borderId="0" xfId="0" applyFont="1" applyFill="1" applyAlignment="1">
      <alignment horizontal="justify" vertical="center" wrapText="1"/>
    </xf>
    <xf numFmtId="0" fontId="29" fillId="0" borderId="0" xfId="0" applyFont="1" applyAlignment="1" applyProtection="1">
      <alignment horizontal="center"/>
      <protection hidden="1"/>
    </xf>
    <xf numFmtId="14" fontId="29" fillId="2" borderId="0" xfId="0" applyNumberFormat="1" applyFont="1" applyFill="1" applyAlignment="1" applyProtection="1">
      <alignment horizontal="left" vertical="center" wrapText="1"/>
      <protection hidden="1"/>
    </xf>
    <xf numFmtId="0" fontId="26" fillId="2" borderId="9" xfId="0" applyFont="1" applyFill="1" applyBorder="1" applyAlignment="1" applyProtection="1">
      <alignment horizontal="center" vertical="center" wrapText="1"/>
      <protection hidden="1"/>
    </xf>
    <xf numFmtId="0" fontId="26" fillId="2" borderId="73" xfId="0" applyFont="1" applyFill="1" applyBorder="1" applyAlignment="1" applyProtection="1">
      <alignment horizontal="center" vertical="center" wrapText="1"/>
      <protection hidden="1"/>
    </xf>
    <xf numFmtId="0" fontId="26" fillId="2" borderId="1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6" fillId="2" borderId="14" xfId="0" applyFont="1" applyFill="1" applyBorder="1" applyAlignment="1" applyProtection="1">
      <alignment horizontal="left" vertical="center" wrapText="1"/>
      <protection hidden="1"/>
    </xf>
    <xf numFmtId="0" fontId="26" fillId="2" borderId="15" xfId="0" applyFont="1" applyFill="1" applyBorder="1" applyAlignment="1" applyProtection="1">
      <alignment horizontal="left" vertical="center" wrapText="1"/>
      <protection hidden="1"/>
    </xf>
    <xf numFmtId="0" fontId="26" fillId="2" borderId="16"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26" fillId="2" borderId="40" xfId="0" applyFont="1" applyFill="1" applyBorder="1" applyAlignment="1" applyProtection="1">
      <alignment horizontal="left" vertical="center" wrapText="1"/>
      <protection hidden="1"/>
    </xf>
    <xf numFmtId="0" fontId="26" fillId="2" borderId="6" xfId="0" applyFont="1" applyFill="1" applyBorder="1" applyAlignment="1" applyProtection="1">
      <alignment horizontal="left" vertical="center" wrapText="1"/>
      <protection hidden="1"/>
    </xf>
    <xf numFmtId="2" fontId="29" fillId="2" borderId="14" xfId="0" applyNumberFormat="1" applyFont="1" applyFill="1" applyBorder="1" applyAlignment="1" applyProtection="1">
      <alignment horizontal="left" vertical="center" wrapText="1"/>
      <protection hidden="1"/>
    </xf>
    <xf numFmtId="2" fontId="29" fillId="2" borderId="16" xfId="0" applyNumberFormat="1" applyFont="1" applyFill="1" applyBorder="1" applyAlignment="1" applyProtection="1">
      <alignment horizontal="left" vertical="center" wrapText="1"/>
      <protection hidden="1"/>
    </xf>
    <xf numFmtId="0" fontId="44" fillId="2" borderId="14" xfId="0" applyFont="1" applyFill="1" applyBorder="1" applyAlignment="1" applyProtection="1">
      <alignment horizontal="left" vertical="center" wrapText="1"/>
      <protection hidden="1"/>
    </xf>
    <xf numFmtId="0" fontId="44" fillId="2" borderId="16" xfId="0" applyFont="1" applyFill="1" applyBorder="1" applyAlignment="1" applyProtection="1">
      <alignment horizontal="left" vertical="center" wrapText="1"/>
      <protection hidden="1"/>
    </xf>
    <xf numFmtId="1" fontId="29" fillId="2" borderId="14" xfId="0" applyNumberFormat="1" applyFont="1" applyFill="1" applyBorder="1" applyAlignment="1" applyProtection="1">
      <alignment horizontal="left" vertical="center" wrapText="1"/>
      <protection hidden="1"/>
    </xf>
    <xf numFmtId="1" fontId="29" fillId="2" borderId="16" xfId="0" applyNumberFormat="1" applyFont="1" applyFill="1" applyBorder="1" applyAlignment="1" applyProtection="1">
      <alignment horizontal="left" vertical="center" wrapText="1"/>
      <protection hidden="1"/>
    </xf>
    <xf numFmtId="168" fontId="29" fillId="2" borderId="14" xfId="0" applyNumberFormat="1" applyFont="1" applyFill="1" applyBorder="1" applyAlignment="1" applyProtection="1">
      <alignment horizontal="left" vertical="center" wrapText="1"/>
      <protection hidden="1"/>
    </xf>
    <xf numFmtId="168" fontId="29" fillId="2" borderId="16" xfId="0" applyNumberFormat="1" applyFont="1" applyFill="1" applyBorder="1" applyAlignment="1" applyProtection="1">
      <alignment horizontal="left" vertical="center" wrapText="1"/>
      <protection hidden="1"/>
    </xf>
    <xf numFmtId="0" fontId="26" fillId="0" borderId="22"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29" fillId="0" borderId="31"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1" fontId="29" fillId="0" borderId="62" xfId="0" applyNumberFormat="1" applyFont="1" applyBorder="1" applyAlignment="1" applyProtection="1">
      <alignment horizontal="center" vertical="center" wrapText="1"/>
      <protection hidden="1"/>
    </xf>
    <xf numFmtId="1" fontId="29" fillId="0" borderId="3" xfId="0" applyNumberFormat="1" applyFont="1" applyBorder="1" applyAlignment="1" applyProtection="1">
      <alignment horizontal="center" vertical="center" wrapText="1"/>
      <protection hidden="1"/>
    </xf>
    <xf numFmtId="14" fontId="29" fillId="2" borderId="0" xfId="0" applyNumberFormat="1" applyFont="1" applyFill="1" applyBorder="1" applyAlignment="1" applyProtection="1">
      <alignment horizontal="justify" vertical="center" wrapText="1"/>
      <protection hidden="1"/>
    </xf>
    <xf numFmtId="0" fontId="29" fillId="2" borderId="0" xfId="0" applyFont="1" applyFill="1" applyBorder="1" applyAlignment="1" applyProtection="1">
      <alignment horizontal="justify" vertical="center" wrapText="1"/>
      <protection hidden="1"/>
    </xf>
    <xf numFmtId="0" fontId="29" fillId="2" borderId="0" xfId="0"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0" fontId="29" fillId="2" borderId="14" xfId="0" applyFont="1" applyFill="1" applyBorder="1" applyAlignment="1" applyProtection="1">
      <alignment horizontal="left" vertical="center" wrapText="1"/>
      <protection hidden="1"/>
    </xf>
    <xf numFmtId="0" fontId="29" fillId="2" borderId="16" xfId="0" applyFont="1" applyFill="1" applyBorder="1" applyAlignment="1" applyProtection="1">
      <alignment horizontal="left" vertical="center" wrapText="1"/>
      <protection hidden="1"/>
    </xf>
    <xf numFmtId="2" fontId="26" fillId="0" borderId="14" xfId="0" applyNumberFormat="1" applyFont="1" applyBorder="1" applyAlignment="1" applyProtection="1">
      <alignment horizontal="center" vertical="center" wrapText="1"/>
      <protection hidden="1"/>
    </xf>
    <xf numFmtId="2" fontId="26" fillId="0" borderId="16" xfId="0" applyNumberFormat="1" applyFont="1" applyBorder="1" applyAlignment="1" applyProtection="1">
      <alignment horizontal="center" vertical="center" wrapText="1"/>
      <protection hidden="1"/>
    </xf>
    <xf numFmtId="1" fontId="29" fillId="0" borderId="61" xfId="0" applyNumberFormat="1" applyFont="1" applyBorder="1" applyAlignment="1" applyProtection="1">
      <alignment horizontal="center" vertical="center" wrapText="1"/>
      <protection hidden="1"/>
    </xf>
    <xf numFmtId="1" fontId="29" fillId="0" borderId="64"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horizontal="right" vertical="center" wrapText="1"/>
      <protection hidden="1"/>
    </xf>
    <xf numFmtId="2" fontId="29" fillId="2" borderId="0" xfId="0" applyNumberFormat="1" applyFont="1" applyFill="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0" fontId="44" fillId="0" borderId="0" xfId="0" applyFont="1" applyBorder="1" applyAlignment="1" applyProtection="1">
      <alignment horizontal="justify" vertical="center" wrapText="1"/>
      <protection locked="0" hidden="1"/>
    </xf>
    <xf numFmtId="14" fontId="29" fillId="2" borderId="0" xfId="0" applyNumberFormat="1" applyFont="1" applyFill="1" applyBorder="1" applyAlignment="1" applyProtection="1">
      <alignment horizontal="left" vertical="center" wrapText="1"/>
      <protection hidden="1"/>
    </xf>
    <xf numFmtId="0" fontId="42" fillId="2" borderId="9" xfId="0" applyFont="1" applyFill="1" applyBorder="1" applyAlignment="1" applyProtection="1">
      <alignment horizontal="center" vertical="center" wrapText="1"/>
      <protection hidden="1"/>
    </xf>
    <xf numFmtId="0" fontId="42" fillId="2" borderId="11" xfId="0" applyFont="1" applyFill="1" applyBorder="1" applyAlignment="1" applyProtection="1">
      <alignment horizontal="center" vertical="center" wrapText="1"/>
      <protection hidden="1"/>
    </xf>
    <xf numFmtId="2" fontId="29" fillId="0" borderId="0" xfId="0" applyNumberFormat="1" applyFont="1" applyBorder="1" applyAlignment="1" applyProtection="1">
      <alignment horizontal="left" vertical="center" wrapText="1"/>
      <protection hidden="1"/>
    </xf>
    <xf numFmtId="0" fontId="44" fillId="2" borderId="0" xfId="0" applyFont="1" applyFill="1" applyBorder="1" applyAlignment="1" applyProtection="1">
      <alignment horizontal="left" vertical="center" wrapText="1"/>
      <protection locked="0" hidden="1"/>
    </xf>
    <xf numFmtId="1" fontId="29" fillId="0" borderId="63" xfId="0" applyNumberFormat="1" applyFont="1" applyBorder="1" applyAlignment="1" applyProtection="1">
      <alignment horizontal="center" vertical="center" wrapText="1"/>
      <protection hidden="1"/>
    </xf>
    <xf numFmtId="1" fontId="29" fillId="0" borderId="13" xfId="0" applyNumberFormat="1" applyFont="1" applyBorder="1" applyAlignment="1" applyProtection="1">
      <alignment horizontal="center" vertical="center" wrapText="1"/>
      <protection hidden="1"/>
    </xf>
    <xf numFmtId="0" fontId="26" fillId="0" borderId="14"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0" fontId="26" fillId="0" borderId="15" xfId="0" applyFont="1" applyBorder="1" applyAlignment="1" applyProtection="1">
      <alignment horizontal="center" vertical="center" wrapText="1"/>
      <protection hidden="1"/>
    </xf>
    <xf numFmtId="0" fontId="29" fillId="0" borderId="0" xfId="0" applyFont="1" applyAlignment="1" applyProtection="1">
      <alignment horizontal="center" vertical="justify" wrapText="1"/>
      <protection hidden="1"/>
    </xf>
    <xf numFmtId="0" fontId="26" fillId="2" borderId="0" xfId="0" applyFont="1" applyFill="1" applyAlignment="1" applyProtection="1">
      <alignment horizontal="left"/>
      <protection hidden="1"/>
    </xf>
    <xf numFmtId="0" fontId="26" fillId="0" borderId="14" xfId="0" applyFont="1" applyBorder="1" applyAlignment="1" applyProtection="1">
      <alignment horizontal="center" vertical="center"/>
      <protection hidden="1"/>
    </xf>
    <xf numFmtId="0" fontId="26"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169" fontId="14" fillId="2" borderId="63" xfId="0" applyNumberFormat="1" applyFont="1" applyFill="1" applyBorder="1" applyAlignment="1" applyProtection="1">
      <alignment horizontal="center" vertical="center" wrapText="1"/>
      <protection hidden="1"/>
    </xf>
    <xf numFmtId="169" fontId="14" fillId="2" borderId="13" xfId="0" applyNumberFormat="1" applyFont="1" applyFill="1" applyBorder="1" applyAlignment="1" applyProtection="1">
      <alignment horizontal="center" vertical="center" wrapText="1"/>
      <protection hidden="1"/>
    </xf>
    <xf numFmtId="0" fontId="44" fillId="2" borderId="0" xfId="0" applyFont="1" applyFill="1" applyAlignment="1" applyProtection="1">
      <alignment horizontal="justify" vertical="center" wrapText="1"/>
      <protection hidden="1"/>
    </xf>
    <xf numFmtId="0" fontId="29" fillId="2" borderId="43" xfId="0" applyNumberFormat="1" applyFont="1" applyFill="1" applyBorder="1" applyAlignment="1" applyProtection="1">
      <alignment horizontal="center" vertical="center" wrapText="1"/>
      <protection hidden="1"/>
    </xf>
    <xf numFmtId="0" fontId="29" fillId="2" borderId="20" xfId="0" applyNumberFormat="1" applyFont="1" applyFill="1" applyBorder="1" applyAlignment="1" applyProtection="1">
      <alignment horizontal="center" vertical="center" wrapText="1"/>
      <protection hidden="1"/>
    </xf>
    <xf numFmtId="0" fontId="44" fillId="2" borderId="0" xfId="0" applyFont="1" applyFill="1" applyBorder="1" applyAlignment="1" applyProtection="1">
      <alignment horizontal="justify" vertical="justify" wrapText="1"/>
      <protection locked="0" hidden="1"/>
    </xf>
    <xf numFmtId="0" fontId="29" fillId="2" borderId="17" xfId="0" applyNumberFormat="1" applyFont="1" applyFill="1" applyBorder="1" applyAlignment="1" applyProtection="1">
      <alignment horizontal="center" vertical="center" wrapText="1"/>
      <protection hidden="1"/>
    </xf>
    <xf numFmtId="0" fontId="29" fillId="2" borderId="18" xfId="0" applyNumberFormat="1" applyFont="1" applyFill="1" applyBorder="1" applyAlignment="1" applyProtection="1">
      <alignment horizontal="center" vertical="center" wrapText="1"/>
      <protection hidden="1"/>
    </xf>
    <xf numFmtId="185" fontId="29" fillId="2" borderId="62" xfId="0" applyNumberFormat="1" applyFont="1" applyFill="1" applyBorder="1" applyAlignment="1" applyProtection="1">
      <alignment horizontal="center" vertical="center" wrapText="1"/>
      <protection hidden="1"/>
    </xf>
    <xf numFmtId="185" fontId="29" fillId="2" borderId="3" xfId="0" applyNumberFormat="1" applyFont="1" applyFill="1" applyBorder="1" applyAlignment="1" applyProtection="1">
      <alignment horizontal="center" vertical="center" wrapText="1"/>
      <protection hidden="1"/>
    </xf>
    <xf numFmtId="185" fontId="29" fillId="2" borderId="63" xfId="0" applyNumberFormat="1" applyFont="1" applyFill="1" applyBorder="1" applyAlignment="1" applyProtection="1">
      <alignment horizontal="center" vertical="center" wrapText="1"/>
      <protection hidden="1"/>
    </xf>
    <xf numFmtId="185" fontId="29" fillId="2" borderId="13" xfId="0" applyNumberFormat="1" applyFont="1" applyFill="1" applyBorder="1" applyAlignment="1" applyProtection="1">
      <alignment horizontal="center" vertical="center" wrapText="1"/>
      <protection hidden="1"/>
    </xf>
    <xf numFmtId="185" fontId="29" fillId="2" borderId="41" xfId="0" applyNumberFormat="1" applyFont="1" applyFill="1" applyBorder="1" applyAlignment="1" applyProtection="1">
      <alignment horizontal="center" vertical="center" wrapText="1"/>
      <protection hidden="1"/>
    </xf>
    <xf numFmtId="185" fontId="29" fillId="2" borderId="1" xfId="0" applyNumberFormat="1" applyFont="1" applyFill="1" applyBorder="1" applyAlignment="1" applyProtection="1">
      <alignment horizontal="center" vertical="center" wrapText="1"/>
      <protection hidden="1"/>
    </xf>
    <xf numFmtId="0" fontId="44" fillId="2" borderId="0" xfId="0" applyFont="1" applyFill="1" applyBorder="1" applyAlignment="1" applyProtection="1">
      <alignment horizontal="justify" vertical="center" wrapText="1"/>
      <protection locked="0" hidden="1"/>
    </xf>
    <xf numFmtId="0" fontId="66" fillId="2" borderId="0" xfId="0" applyFont="1" applyFill="1" applyAlignment="1" applyProtection="1">
      <alignment horizontal="left" vertical="center" wrapText="1"/>
      <protection hidden="1"/>
    </xf>
    <xf numFmtId="0" fontId="9" fillId="0" borderId="14"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2" fontId="9" fillId="0" borderId="14" xfId="0" applyNumberFormat="1" applyFont="1" applyBorder="1" applyAlignment="1" applyProtection="1">
      <alignment horizontal="center" vertical="center" wrapText="1"/>
      <protection hidden="1"/>
    </xf>
    <xf numFmtId="2" fontId="9" fillId="0" borderId="16" xfId="0" applyNumberFormat="1" applyFont="1" applyBorder="1" applyAlignment="1" applyProtection="1">
      <alignment horizontal="center" vertical="center" wrapText="1"/>
      <protection hidden="1"/>
    </xf>
    <xf numFmtId="1" fontId="10" fillId="0" borderId="61" xfId="0" applyNumberFormat="1" applyFont="1" applyBorder="1" applyAlignment="1" applyProtection="1">
      <alignment horizontal="center" vertical="center" wrapText="1"/>
      <protection hidden="1"/>
    </xf>
    <xf numFmtId="1" fontId="10" fillId="0" borderId="64" xfId="0" applyNumberFormat="1" applyFont="1" applyBorder="1" applyAlignment="1" applyProtection="1">
      <alignment horizontal="center" vertical="center" wrapText="1"/>
      <protection hidden="1"/>
    </xf>
    <xf numFmtId="1" fontId="10" fillId="0" borderId="62" xfId="0" applyNumberFormat="1" applyFont="1" applyBorder="1" applyAlignment="1" applyProtection="1">
      <alignment horizontal="center" vertical="center" wrapText="1"/>
      <protection hidden="1"/>
    </xf>
    <xf numFmtId="1" fontId="10" fillId="0" borderId="3" xfId="0" applyNumberFormat="1" applyFont="1" applyBorder="1" applyAlignment="1" applyProtection="1">
      <alignment horizontal="center" vertical="center" wrapText="1"/>
      <protection hidden="1"/>
    </xf>
    <xf numFmtId="0" fontId="9" fillId="2" borderId="9" xfId="0" applyFont="1" applyFill="1" applyBorder="1" applyAlignment="1" applyProtection="1">
      <alignment horizontal="center" vertical="center" wrapText="1"/>
      <protection hidden="1"/>
    </xf>
    <xf numFmtId="0" fontId="9" fillId="2" borderId="73"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1" fontId="10" fillId="0" borderId="63" xfId="0" applyNumberFormat="1" applyFont="1" applyBorder="1" applyAlignment="1" applyProtection="1">
      <alignment horizontal="center" vertical="center" wrapText="1"/>
      <protection hidden="1"/>
    </xf>
    <xf numFmtId="1" fontId="10" fillId="0" borderId="13" xfId="0" applyNumberFormat="1" applyFont="1" applyBorder="1" applyAlignment="1" applyProtection="1">
      <alignment horizontal="center" vertical="center" wrapText="1"/>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2" fontId="9" fillId="2" borderId="35" xfId="0" applyNumberFormat="1" applyFont="1" applyFill="1" applyBorder="1" applyAlignment="1" applyProtection="1">
      <alignment horizontal="center" vertical="center" wrapText="1"/>
      <protection hidden="1"/>
    </xf>
    <xf numFmtId="0" fontId="10" fillId="2" borderId="43" xfId="0" applyNumberFormat="1" applyFont="1" applyFill="1" applyBorder="1" applyAlignment="1" applyProtection="1">
      <alignment horizontal="center" vertical="center" wrapText="1"/>
      <protection hidden="1"/>
    </xf>
    <xf numFmtId="0" fontId="10" fillId="2" borderId="20" xfId="0" applyNumberFormat="1" applyFont="1" applyFill="1" applyBorder="1" applyAlignment="1" applyProtection="1">
      <alignment horizontal="center" vertical="center" wrapText="1"/>
      <protection hidden="1"/>
    </xf>
    <xf numFmtId="185" fontId="10" fillId="2" borderId="41" xfId="0" applyNumberFormat="1" applyFont="1" applyFill="1" applyBorder="1" applyAlignment="1" applyProtection="1">
      <alignment horizontal="center" vertical="center" wrapText="1"/>
      <protection hidden="1"/>
    </xf>
    <xf numFmtId="185" fontId="10" fillId="2" borderId="1" xfId="0" applyNumberFormat="1" applyFont="1" applyFill="1" applyBorder="1" applyAlignment="1" applyProtection="1">
      <alignment horizontal="center" vertical="center" wrapText="1"/>
      <protection hidden="1"/>
    </xf>
    <xf numFmtId="185" fontId="10" fillId="2" borderId="7" xfId="0" applyNumberFormat="1" applyFont="1" applyFill="1" applyBorder="1" applyAlignment="1" applyProtection="1">
      <alignment horizontal="center" vertical="center" wrapText="1"/>
      <protection hidden="1"/>
    </xf>
    <xf numFmtId="185" fontId="10" fillId="2" borderId="8" xfId="0" applyNumberFormat="1" applyFont="1" applyFill="1" applyBorder="1" applyAlignment="1" applyProtection="1">
      <alignment horizontal="center" vertical="center" wrapText="1"/>
      <protection hidden="1"/>
    </xf>
    <xf numFmtId="169" fontId="16" fillId="2" borderId="14" xfId="0" applyNumberFormat="1" applyFont="1" applyFill="1" applyBorder="1" applyAlignment="1" applyProtection="1">
      <alignment horizontal="center" vertical="center" wrapText="1"/>
      <protection hidden="1"/>
    </xf>
    <xf numFmtId="169" fontId="16" fillId="2" borderId="73" xfId="0" applyNumberFormat="1" applyFont="1" applyFill="1" applyBorder="1" applyAlignment="1" applyProtection="1">
      <alignment horizontal="center" vertical="center" wrapText="1"/>
      <protection hidden="1"/>
    </xf>
    <xf numFmtId="169" fontId="15" fillId="2" borderId="61" xfId="0" applyNumberFormat="1" applyFont="1" applyFill="1" applyBorder="1" applyAlignment="1" applyProtection="1">
      <alignment horizontal="center" vertical="center" wrapText="1"/>
      <protection hidden="1"/>
    </xf>
    <xf numFmtId="169" fontId="15" fillId="2" borderId="64" xfId="0" applyNumberFormat="1" applyFont="1" applyFill="1" applyBorder="1" applyAlignment="1" applyProtection="1">
      <alignment horizontal="center" vertical="center" wrapText="1"/>
      <protection hidden="1"/>
    </xf>
    <xf numFmtId="169" fontId="15" fillId="2" borderId="63" xfId="0" applyNumberFormat="1" applyFont="1" applyFill="1" applyBorder="1" applyAlignment="1" applyProtection="1">
      <alignment horizontal="center" vertical="center" wrapText="1"/>
      <protection hidden="1"/>
    </xf>
    <xf numFmtId="169" fontId="15" fillId="2" borderId="13" xfId="0" applyNumberFormat="1" applyFont="1" applyFill="1" applyBorder="1" applyAlignment="1" applyProtection="1">
      <alignment horizontal="center" vertical="center" wrapText="1"/>
      <protection hidden="1"/>
    </xf>
    <xf numFmtId="0" fontId="29" fillId="0" borderId="0" xfId="0" applyFont="1" applyAlignment="1" applyProtection="1">
      <alignment horizontal="center" vertical="center" wrapText="1"/>
      <protection hidden="1"/>
    </xf>
    <xf numFmtId="2" fontId="44" fillId="0" borderId="0" xfId="3" applyNumberFormat="1" applyFont="1" applyFill="1" applyBorder="1" applyAlignment="1" applyProtection="1">
      <alignment horizontal="left" vertical="center"/>
      <protection hidden="1"/>
    </xf>
    <xf numFmtId="0" fontId="1" fillId="0" borderId="0" xfId="0" applyFont="1" applyAlignment="1">
      <alignment horizontal="left" vertical="center" wrapText="1"/>
    </xf>
    <xf numFmtId="0" fontId="1" fillId="0" borderId="0" xfId="0" applyFont="1" applyAlignment="1" applyProtection="1">
      <alignment horizontal="left" vertical="center" wrapText="1"/>
      <protection hidden="1"/>
    </xf>
    <xf numFmtId="2" fontId="1" fillId="2" borderId="0" xfId="0" applyNumberFormat="1" applyFont="1" applyFill="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 fontId="1" fillId="2" borderId="0" xfId="0" applyNumberFormat="1" applyFont="1" applyFill="1" applyAlignment="1" applyProtection="1">
      <alignment horizontal="left" vertical="center" wrapText="1"/>
      <protection hidden="1"/>
    </xf>
    <xf numFmtId="168" fontId="1" fillId="2" borderId="0" xfId="0" applyNumberFormat="1" applyFont="1" applyFill="1" applyAlignment="1" applyProtection="1">
      <alignment horizontal="left" vertical="center" wrapText="1"/>
      <protection hidden="1"/>
    </xf>
    <xf numFmtId="49" fontId="42" fillId="0" borderId="0" xfId="0" applyNumberFormat="1" applyFont="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49" fontId="42" fillId="0" borderId="0" xfId="0" applyNumberFormat="1" applyFont="1" applyAlignment="1" applyProtection="1">
      <alignment horizontal="right"/>
      <protection hidden="1"/>
    </xf>
    <xf numFmtId="2" fontId="1" fillId="0" borderId="0" xfId="0" applyNumberFormat="1" applyFont="1" applyAlignment="1" applyProtection="1">
      <alignment horizontal="left" vertical="center" wrapText="1"/>
      <protection hidden="1"/>
    </xf>
    <xf numFmtId="0" fontId="1" fillId="0" borderId="0" xfId="0" applyFont="1" applyAlignment="1" applyProtection="1">
      <alignment horizontal="right" vertical="center" wrapText="1"/>
      <protection hidden="1"/>
    </xf>
    <xf numFmtId="0" fontId="42" fillId="0" borderId="0" xfId="0" applyFont="1" applyAlignment="1" applyProtection="1">
      <alignment horizontal="center" vertical="center"/>
      <protection hidden="1"/>
    </xf>
    <xf numFmtId="0" fontId="75" fillId="0" borderId="0" xfId="0" applyFont="1" applyAlignment="1">
      <alignment horizontal="center" vertical="center"/>
    </xf>
    <xf numFmtId="0" fontId="0" fillId="0" borderId="0" xfId="0" applyAlignment="1">
      <alignment horizontal="left" vertical="center" wrapText="1"/>
    </xf>
    <xf numFmtId="0" fontId="42" fillId="0" borderId="0" xfId="0" applyFont="1" applyAlignment="1" applyProtection="1">
      <alignment horizontal="center" vertical="center" wrapText="1"/>
      <protection hidden="1"/>
    </xf>
    <xf numFmtId="0" fontId="42" fillId="0" borderId="0" xfId="0" applyFont="1" applyAlignment="1" applyProtection="1">
      <alignment horizontal="center"/>
      <protection hidden="1"/>
    </xf>
    <xf numFmtId="0" fontId="1" fillId="0" borderId="0" xfId="0" applyFont="1" applyAlignment="1" applyProtection="1">
      <alignment horizontal="center"/>
      <protection hidden="1"/>
    </xf>
    <xf numFmtId="168" fontId="1" fillId="2" borderId="0" xfId="0" applyNumberFormat="1" applyFont="1" applyFill="1" applyAlignment="1" applyProtection="1">
      <alignment horizontal="right" vertical="center" wrapText="1"/>
      <protection hidden="1"/>
    </xf>
    <xf numFmtId="0" fontId="1" fillId="0" borderId="0" xfId="0" applyFont="1" applyAlignment="1">
      <alignment horizontal="right" vertical="center" wrapText="1"/>
    </xf>
    <xf numFmtId="0" fontId="1" fillId="0" borderId="0" xfId="0" applyFont="1" applyAlignment="1" applyProtection="1">
      <alignment horizontal="center" vertical="center" wrapText="1"/>
      <protection hidden="1"/>
    </xf>
    <xf numFmtId="0" fontId="0" fillId="0" borderId="0" xfId="0" applyAlignment="1">
      <alignment horizontal="center" vertical="center"/>
    </xf>
    <xf numFmtId="0" fontId="42" fillId="0" borderId="40" xfId="0" applyFont="1" applyBorder="1" applyAlignment="1" applyProtection="1">
      <alignment horizontal="center"/>
      <protection hidden="1"/>
    </xf>
    <xf numFmtId="0" fontId="42" fillId="0" borderId="31" xfId="0" applyFont="1" applyBorder="1" applyAlignment="1" applyProtection="1">
      <alignment horizontal="center" vertical="center" wrapText="1"/>
      <protection hidden="1"/>
    </xf>
    <xf numFmtId="0" fontId="1" fillId="0" borderId="40" xfId="0" applyFont="1" applyBorder="1" applyAlignment="1" applyProtection="1">
      <alignment horizontal="center"/>
      <protection hidden="1"/>
    </xf>
    <xf numFmtId="3" fontId="1" fillId="0" borderId="0" xfId="0" applyNumberFormat="1" applyFont="1" applyAlignment="1" applyProtection="1">
      <alignment horizontal="left" vertical="center" wrapText="1"/>
      <protection hidden="1"/>
    </xf>
    <xf numFmtId="0" fontId="42" fillId="0" borderId="0" xfId="0" applyFont="1" applyBorder="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62" fillId="0" borderId="0" xfId="0" applyFont="1" applyAlignment="1">
      <alignment horizontal="justify" vertical="center" wrapText="1"/>
    </xf>
    <xf numFmtId="0" fontId="42" fillId="0" borderId="0" xfId="0" applyFont="1" applyAlignment="1" applyProtection="1">
      <alignment horizontal="left" vertical="center"/>
      <protection hidden="1"/>
    </xf>
  </cellXfs>
  <cellStyles count="5">
    <cellStyle name="Bueno" xfId="2" builtinId="26"/>
    <cellStyle name="Estilo 1" xfId="3" xr:uid="{00000000-0005-0000-0000-000001000000}"/>
    <cellStyle name="Estilo 2" xfId="4" xr:uid="{00000000-0005-0000-0000-000002000000}"/>
    <cellStyle name="Normal" xfId="0" builtinId="0"/>
    <cellStyle name="Porcentaje" xfId="1" builtinId="5"/>
  </cellStyles>
  <dxfs count="1">
    <dxf>
      <font>
        <strike val="0"/>
        <color rgb="FF00B050"/>
      </font>
      <fill>
        <patternFill>
          <bgColor theme="4" tint="0.39994506668294322"/>
        </patternFill>
      </fill>
    </dxf>
  </dxfs>
  <tableStyles count="1" defaultTableStyle="TableStyleMedium2" defaultPivotStyle="PivotStyleLight16">
    <tableStyle name="Invisible" pivot="0" table="0" count="0" xr9:uid="{00000000-0011-0000-FFFF-FFFF00000000}"/>
  </tableStyles>
  <colors>
    <mruColors>
      <color rgb="FFDDEBF7"/>
      <color rgb="FF8DB4E2"/>
      <color rgb="FF1F4E78"/>
      <color rgb="FFF4B084"/>
      <color rgb="FFB6FD03"/>
      <color rgb="FFCDD12F"/>
      <color rgb="FFBDD7EE"/>
      <color rgb="FFACB9CA"/>
      <color rgb="FFAEAAAA"/>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'!$F$103:$F$105</c:f>
              <c:numCache>
                <c:formatCode>General</c:formatCode>
                <c:ptCount val="3"/>
                <c:pt idx="0">
                  <c:v>15.3</c:v>
                </c:pt>
                <c:pt idx="1">
                  <c:v>24.7</c:v>
                </c:pt>
                <c:pt idx="2" formatCode="0.0">
                  <c:v>29.5</c:v>
                </c:pt>
              </c:numCache>
            </c:numRef>
          </c:xVal>
          <c:yVal>
            <c:numRef>
              <c:f>'DATOS % '!$H$103:$H$105</c:f>
              <c:numCache>
                <c:formatCode>0.0</c:formatCode>
                <c:ptCount val="3"/>
                <c:pt idx="0">
                  <c:v>0</c:v>
                </c:pt>
                <c:pt idx="1">
                  <c:v>0</c:v>
                </c:pt>
                <c:pt idx="2">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93172608"/>
        <c:axId val="193174144"/>
      </c:scatterChart>
      <c:valAx>
        <c:axId val="1931726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74144"/>
        <c:crosses val="autoZero"/>
        <c:crossBetween val="midCat"/>
      </c:valAx>
      <c:valAx>
        <c:axId val="1931741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726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'!$F$135:$F$137</c:f>
              <c:numCache>
                <c:formatCode>General</c:formatCode>
                <c:ptCount val="3"/>
                <c:pt idx="0">
                  <c:v>15.2</c:v>
                </c:pt>
                <c:pt idx="1">
                  <c:v>24.8</c:v>
                </c:pt>
                <c:pt idx="2" formatCode="0.0">
                  <c:v>29.8</c:v>
                </c:pt>
              </c:numCache>
            </c:numRef>
          </c:xVal>
          <c:yVal>
            <c:numRef>
              <c:f>'DATOS % '!$H$135:$H$137</c:f>
              <c:numCache>
                <c:formatCode>0.0</c:formatCode>
                <c:ptCount val="3"/>
                <c:pt idx="0">
                  <c:v>0</c:v>
                </c:pt>
                <c:pt idx="1">
                  <c:v>0</c:v>
                </c:pt>
                <c:pt idx="2">
                  <c:v>-0.1</c:v>
                </c:pt>
              </c:numCache>
            </c:numRef>
          </c:yVal>
          <c:smooth val="0"/>
          <c:extLs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94639744"/>
        <c:axId val="194641280"/>
      </c:scatterChart>
      <c:valAx>
        <c:axId val="1946397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41280"/>
        <c:crosses val="autoZero"/>
        <c:crossBetween val="midCat"/>
      </c:valAx>
      <c:valAx>
        <c:axId val="194641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397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'!$F$138:$F$140</c:f>
              <c:numCache>
                <c:formatCode>General</c:formatCode>
                <c:ptCount val="3"/>
                <c:pt idx="0">
                  <c:v>32.9</c:v>
                </c:pt>
                <c:pt idx="1">
                  <c:v>51.2</c:v>
                </c:pt>
                <c:pt idx="2">
                  <c:v>77.599999999999994</c:v>
                </c:pt>
              </c:numCache>
            </c:numRef>
          </c:xVal>
          <c:yVal>
            <c:numRef>
              <c:f>'DATOS % '!$H$138:$H$140</c:f>
              <c:numCache>
                <c:formatCode>General</c:formatCode>
                <c:ptCount val="3"/>
                <c:pt idx="0">
                  <c:v>-3</c:v>
                </c:pt>
                <c:pt idx="1">
                  <c:v>-1.2</c:v>
                </c:pt>
                <c:pt idx="2">
                  <c:v>2.4</c:v>
                </c:pt>
              </c:numCache>
            </c:numRef>
          </c:yVal>
          <c:smooth val="0"/>
          <c:extLs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95163264"/>
        <c:axId val="195164800"/>
      </c:scatterChart>
      <c:valAx>
        <c:axId val="195163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164800"/>
        <c:crosses val="autoZero"/>
        <c:crossBetween val="midCat"/>
      </c:valAx>
      <c:valAx>
        <c:axId val="1951648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163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'!$F$141:$F$143</c:f>
              <c:numCache>
                <c:formatCode>General</c:formatCode>
                <c:ptCount val="3"/>
                <c:pt idx="0">
                  <c:v>598.11699999999996</c:v>
                </c:pt>
                <c:pt idx="1">
                  <c:v>752.81600000000003</c:v>
                </c:pt>
                <c:pt idx="2">
                  <c:v>848.553</c:v>
                </c:pt>
              </c:numCache>
            </c:numRef>
          </c:xVal>
          <c:yVal>
            <c:numRef>
              <c:f>'DATOS % '!$H$141:$H$143</c:f>
              <c:numCache>
                <c:formatCode>0.00</c:formatCode>
                <c:ptCount val="3"/>
                <c:pt idx="0" formatCode="General">
                  <c:v>1.4450000000000001</c:v>
                </c:pt>
                <c:pt idx="1">
                  <c:v>0.95399999999999996</c:v>
                </c:pt>
                <c:pt idx="2" formatCode="General">
                  <c:v>0.70399999999999996</c:v>
                </c:pt>
              </c:numCache>
            </c:numRef>
          </c:yVal>
          <c:smooth val="0"/>
          <c:extLs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95203456"/>
        <c:axId val="195204992"/>
      </c:scatterChart>
      <c:valAx>
        <c:axId val="1952034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204992"/>
        <c:crosses val="autoZero"/>
        <c:crossBetween val="midCat"/>
      </c:valAx>
      <c:valAx>
        <c:axId val="1952049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2034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'!$F$145:$F$147</c:f>
              <c:numCache>
                <c:formatCode>0.0</c:formatCode>
                <c:ptCount val="3"/>
                <c:pt idx="0" formatCode="General">
                  <c:v>15.1</c:v>
                </c:pt>
                <c:pt idx="1">
                  <c:v>24.8</c:v>
                </c:pt>
                <c:pt idx="2">
                  <c:v>29.7</c:v>
                </c:pt>
              </c:numCache>
            </c:numRef>
          </c:xVal>
          <c:yVal>
            <c:numRef>
              <c:f>'DATOS % '!$H$145:$H$147</c:f>
              <c:numCache>
                <c:formatCode>0.0</c:formatCode>
                <c:ptCount val="3"/>
                <c:pt idx="0">
                  <c:v>0.2</c:v>
                </c:pt>
                <c:pt idx="1">
                  <c:v>-0.1</c:v>
                </c:pt>
                <c:pt idx="2">
                  <c:v>-0.3</c:v>
                </c:pt>
              </c:numCache>
            </c:numRef>
          </c:yVal>
          <c:smooth val="0"/>
          <c:extLs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95231104"/>
        <c:axId val="194946176"/>
      </c:scatterChart>
      <c:valAx>
        <c:axId val="1952311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46176"/>
        <c:crosses val="autoZero"/>
        <c:crossBetween val="midCat"/>
      </c:valAx>
      <c:valAx>
        <c:axId val="1949461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2311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'!$F$148:$F$150</c:f>
              <c:numCache>
                <c:formatCode>General</c:formatCode>
                <c:ptCount val="3"/>
                <c:pt idx="0">
                  <c:v>33.200000000000003</c:v>
                </c:pt>
                <c:pt idx="1">
                  <c:v>51.4</c:v>
                </c:pt>
                <c:pt idx="2">
                  <c:v>77.599999999999994</c:v>
                </c:pt>
              </c:numCache>
            </c:numRef>
          </c:xVal>
          <c:yVal>
            <c:numRef>
              <c:f>'DATOS % '!$H$148:$H$150</c:f>
              <c:numCache>
                <c:formatCode>General</c:formatCode>
                <c:ptCount val="3"/>
                <c:pt idx="0">
                  <c:v>-3.2</c:v>
                </c:pt>
                <c:pt idx="1">
                  <c:v>-1.5</c:v>
                </c:pt>
                <c:pt idx="2">
                  <c:v>2.5</c:v>
                </c:pt>
              </c:numCache>
            </c:numRef>
          </c:yVal>
          <c:smooth val="0"/>
          <c:extLs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95050112"/>
        <c:axId val="195051904"/>
      </c:scatterChart>
      <c:valAx>
        <c:axId val="1950501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051904"/>
        <c:crosses val="autoZero"/>
        <c:crossBetween val="midCat"/>
      </c:valAx>
      <c:valAx>
        <c:axId val="1950519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0501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'!$A$151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'!$F$151:$F$153</c:f>
              <c:numCache>
                <c:formatCode>General</c:formatCode>
                <c:ptCount val="3"/>
                <c:pt idx="0" formatCode="0.0">
                  <c:v>598.08199999999999</c:v>
                </c:pt>
                <c:pt idx="1">
                  <c:v>752.79499999999996</c:v>
                </c:pt>
                <c:pt idx="2">
                  <c:v>848.6</c:v>
                </c:pt>
              </c:numCache>
            </c:numRef>
          </c:xVal>
          <c:yVal>
            <c:numRef>
              <c:f>'DATOS % '!$H$151:$H$153</c:f>
              <c:numCache>
                <c:formatCode>0.00</c:formatCode>
                <c:ptCount val="3"/>
                <c:pt idx="0" formatCode="General">
                  <c:v>1.4830000000000001</c:v>
                </c:pt>
                <c:pt idx="1">
                  <c:v>0.97299999999999998</c:v>
                </c:pt>
                <c:pt idx="2" formatCode="General">
                  <c:v>0.65600000000000003</c:v>
                </c:pt>
              </c:numCache>
            </c:numRef>
          </c:yVal>
          <c:smooth val="0"/>
          <c:extLs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94983808"/>
        <c:axId val="194985344"/>
      </c:scatterChart>
      <c:valAx>
        <c:axId val="194983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85344"/>
        <c:crosses val="autoZero"/>
        <c:crossBetween val="midCat"/>
      </c:valAx>
      <c:valAx>
        <c:axId val="1949853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83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09034181373665E-2"/>
          <c:y val="0.13087588589447324"/>
          <c:w val="0.89016256604346367"/>
          <c:h val="0.80768101300863082"/>
        </c:manualLayout>
      </c:layout>
      <c:scatterChart>
        <c:scatterStyle val="lineMarker"/>
        <c:varyColors val="0"/>
        <c:ser>
          <c:idx val="0"/>
          <c:order val="0"/>
          <c:tx>
            <c:strRef>
              <c:f>'RT03-F12 %'!$N$130:$N$134</c:f>
              <c:strCache>
                <c:ptCount val="5"/>
                <c:pt idx="0">
                  <c:v>#N/D</c:v>
                </c:pt>
                <c:pt idx="1">
                  <c:v>#N/D</c:v>
                </c:pt>
                <c:pt idx="2">
                  <c:v>#N/D</c:v>
                </c:pt>
                <c:pt idx="3">
                  <c:v>#N/D</c:v>
                </c:pt>
                <c:pt idx="4">
                  <c:v>#N/D</c:v>
                </c:pt>
              </c:strCache>
            </c:strRef>
          </c:tx>
          <c:spPr>
            <a:ln w="22225" cap="rnd">
              <a:solidFill>
                <a:srgbClr val="FF0000"/>
              </a:solidFill>
            </a:ln>
            <a:effectLst>
              <a:glow rad="139700">
                <a:schemeClr val="accent6">
                  <a:satMod val="175000"/>
                  <a:alpha val="14000"/>
                </a:schemeClr>
              </a:glow>
            </a:effectLst>
          </c:spPr>
          <c:marker>
            <c:symbol val="circle"/>
            <c:size val="6"/>
            <c:spPr>
              <a:solidFill>
                <a:schemeClr val="accent6">
                  <a:lumMod val="60000"/>
                  <a:lumOff val="40000"/>
                </a:schemeClr>
              </a:solidFill>
              <a:ln>
                <a:solidFill>
                  <a:srgbClr val="FFFF00"/>
                </a:solidFill>
              </a:ln>
              <a:effectLst>
                <a:glow rad="63500">
                  <a:schemeClr val="accent6">
                    <a:satMod val="175000"/>
                    <a:alpha val="25000"/>
                  </a:schemeClr>
                </a:glow>
              </a:effectLst>
            </c:spPr>
          </c:marker>
          <c:dLbls>
            <c:dLbl>
              <c:idx val="0"/>
              <c:layout>
                <c:manualLayout>
                  <c:x val="-3.2373725344309501E-3"/>
                  <c:y val="-4.0752992581235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ED-49B3-93EF-71BB7A467D23}"/>
                </c:ext>
              </c:extLst>
            </c:dLbl>
            <c:dLbl>
              <c:idx val="1"/>
              <c:layout>
                <c:manualLayout>
                  <c:x val="-6.3976991042840716E-3"/>
                  <c:y val="7.5275590145478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BD-45C2-8E47-6011A21C4719}"/>
                </c:ext>
              </c:extLst>
            </c:dLbl>
            <c:dLbl>
              <c:idx val="2"/>
              <c:layout>
                <c:manualLayout>
                  <c:x val="-2.9457031847063774E-3"/>
                  <c:y val="0.1047216790711214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BD-45C2-8E47-6011A21C4719}"/>
                </c:ext>
              </c:extLst>
            </c:dLbl>
            <c:dLbl>
              <c:idx val="3"/>
              <c:layout>
                <c:manualLayout>
                  <c:x val="-4.0963684912322471E-3"/>
                  <c:y val="7.2003802487073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BD-45C2-8E47-6011A21C4719}"/>
                </c:ext>
              </c:extLst>
            </c:dLbl>
            <c:dLbl>
              <c:idx val="4"/>
              <c:layout>
                <c:manualLayout>
                  <c:x val="-3.3185187440207306E-2"/>
                  <c:y val="-7.5226642141140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BD-45C2-8E47-6011A21C47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errBars>
            <c:errDir val="x"/>
            <c:errBarType val="both"/>
            <c:errValType val="fixedVal"/>
            <c:noEndCap val="0"/>
            <c:val val="1"/>
            <c:spPr>
              <a:noFill/>
              <a:ln w="9525">
                <a:solidFill>
                  <a:schemeClr val="lt1">
                    <a:lumMod val="50000"/>
                  </a:schemeClr>
                </a:solidFill>
                <a:round/>
              </a:ln>
              <a:effectLst/>
            </c:spPr>
          </c:errBars>
          <c:xVal>
            <c:numRef>
              <c:f>'RT03-F12 %'!$N$130:$N$134</c:f>
              <c:numCache>
                <c:formatCode>0</c:formatCode>
                <c:ptCount val="5"/>
                <c:pt idx="0">
                  <c:v>#N/A</c:v>
                </c:pt>
                <c:pt idx="1">
                  <c:v>#N/A</c:v>
                </c:pt>
                <c:pt idx="2">
                  <c:v>#N/A</c:v>
                </c:pt>
                <c:pt idx="3">
                  <c:v>#N/A</c:v>
                </c:pt>
                <c:pt idx="4">
                  <c:v>#N/A</c:v>
                </c:pt>
              </c:numCache>
            </c:numRef>
          </c:xVal>
          <c:yVal>
            <c:numRef>
              <c:f>'RT03-F12 %'!$O$130:$O$134</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142320000"/>
        <c:axId val="142321920"/>
      </c:scatterChart>
      <c:valAx>
        <c:axId val="142320000"/>
        <c:scaling>
          <c:orientation val="minMax"/>
          <c:max val="9000"/>
          <c:min val="0"/>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a:t>Carga (g)</a:t>
                </a:r>
              </a:p>
            </c:rich>
          </c:tx>
          <c:layout>
            <c:manualLayout>
              <c:xMode val="edge"/>
              <c:yMode val="edge"/>
              <c:x val="0.48748769263790748"/>
              <c:y val="0.8659056540097431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321920"/>
        <c:crosses val="autoZero"/>
        <c:crossBetween val="midCat"/>
        <c:majorUnit val="1000"/>
        <c:minorUnit val="10"/>
      </c:valAx>
      <c:valAx>
        <c:axId val="142321920"/>
        <c:scaling>
          <c:orientation val="minMax"/>
          <c:min val="2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baseline="0"/>
                  <a:t>Incertidumbre (mg)</a:t>
                </a:r>
                <a:endParaRPr lang="es-CO"/>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General" sourceLinked="0"/>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320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('RT03-F12 %'!$A$73:$B$77,'RT03-F12 %'!$A$80:$B$82)</c:f>
              <c:strCache>
                <c:ptCount val="8"/>
                <c:pt idx="0">
                  <c:v>Excentricidad</c:v>
                </c:pt>
                <c:pt idx="1">
                  <c:v>Repetibilidad</c:v>
                </c:pt>
                <c:pt idx="2">
                  <c:v>Repetibilidad del método</c:v>
                </c:pt>
                <c:pt idx="3">
                  <c:v>Prueba de error de indicación (redondeo de la indicación sin carga)</c:v>
                </c:pt>
                <c:pt idx="4">
                  <c:v>Prueba de error de indicación (redondeo de la indicación con carga)</c:v>
                </c:pt>
                <c:pt idx="5">
                  <c:v>Incertidumbre por pesas patrón</c:v>
                </c:pt>
                <c:pt idx="6">
                  <c:v>Incertidumbre  por empuje</c:v>
                </c:pt>
                <c:pt idx="7">
                  <c:v>Incertidumbre por  deriva</c:v>
                </c:pt>
              </c:strCache>
            </c:strRef>
          </c:cat>
          <c:val>
            <c:numRef>
              <c:f>('RT03-F12 %'!$M$73:$M$77,'RT03-F12 %'!$M$80:$M$82)</c:f>
              <c:numCache>
                <c:formatCode>0%</c:formatCode>
                <c:ptCount val="8"/>
                <c:pt idx="0">
                  <c:v>#N/A</c:v>
                </c:pt>
                <c:pt idx="1">
                  <c:v>0</c:v>
                </c:pt>
                <c:pt idx="2">
                  <c:v>#N/A</c:v>
                </c:pt>
                <c:pt idx="3">
                  <c:v>#N/A</c:v>
                </c:pt>
                <c:pt idx="4">
                  <c:v>#N/A</c:v>
                </c:pt>
                <c:pt idx="5">
                  <c:v>#N/A</c:v>
                </c:pt>
                <c:pt idx="6">
                  <c:v>#N/A</c:v>
                </c:pt>
                <c:pt idx="7">
                  <c:v>#N/A</c:v>
                </c:pt>
              </c:numCache>
            </c:numRef>
          </c:val>
          <c:extLst>
            <c:ext xmlns:c16="http://schemas.microsoft.com/office/drawing/2014/chart" uri="{C3380CC4-5D6E-409C-BE32-E72D297353CC}">
              <c16:uniqueId val="{00000000-4BF2-4CBB-8B59-4CA643ACF86D}"/>
            </c:ext>
          </c:extLst>
        </c:ser>
        <c:dLbls>
          <c:dLblPos val="inEnd"/>
          <c:showLegendKey val="0"/>
          <c:showVal val="1"/>
          <c:showCatName val="0"/>
          <c:showSerName val="0"/>
          <c:showPercent val="0"/>
          <c:showBubbleSize val="0"/>
        </c:dLbls>
        <c:gapWidth val="65"/>
        <c:axId val="141977856"/>
        <c:axId val="141980800"/>
      </c:barChart>
      <c:catAx>
        <c:axId val="1419778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141980800"/>
        <c:crosses val="autoZero"/>
        <c:auto val="1"/>
        <c:lblAlgn val="ctr"/>
        <c:lblOffset val="100"/>
        <c:noMultiLvlLbl val="0"/>
      </c:catAx>
      <c:valAx>
        <c:axId val="1419808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41977856"/>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765433958959168E-2"/>
                  <c:y val="-0.1343496472663139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CA-46AE-AB68-5396A5A1EB37}"/>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'!$G$7</c:f>
                <c:numCache>
                  <c:formatCode>General</c:formatCode>
                  <c:ptCount val="1"/>
                  <c:pt idx="0">
                    <c:v>#N/A</c:v>
                  </c:pt>
                </c:numCache>
              </c:numRef>
            </c:plus>
            <c:minus>
              <c:numRef>
                <c:f>'Pc % '!$G$7</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'!$F$7</c:f>
              <c:numCache>
                <c:formatCode>0.000</c:formatCode>
                <c:ptCount val="1"/>
                <c:pt idx="0">
                  <c:v>0</c:v>
                </c:pt>
              </c:numCache>
            </c:numRef>
          </c:val>
          <c:smooth val="0"/>
          <c:extLst>
            <c:ext xmlns:c16="http://schemas.microsoft.com/office/drawing/2014/chart" uri="{C3380CC4-5D6E-409C-BE32-E72D297353CC}">
              <c16:uniqueId val="{00000001-04CA-46AE-AB68-5396A5A1EB37}"/>
            </c:ext>
          </c:extLst>
        </c:ser>
        <c:ser>
          <c:idx val="1"/>
          <c:order val="1"/>
          <c:tx>
            <c:strRef>
              <c:f>'Pc % '!$H$6</c:f>
              <c:strCache>
                <c:ptCount val="1"/>
                <c:pt idx="0">
                  <c:v> ±EMP </c:v>
                </c:pt>
              </c:strCache>
            </c:strRef>
          </c:tx>
          <c:spPr>
            <a:ln w="28575" cap="rnd">
              <a:solidFill>
                <a:srgbClr val="FF0000"/>
              </a:solidFill>
              <a:round/>
            </a:ln>
            <a:effectLst/>
          </c:spPr>
          <c:marker>
            <c:symbol val="none"/>
          </c:marker>
          <c:dLbls>
            <c:delete val="1"/>
          </c:dLbls>
          <c:val>
            <c:numRef>
              <c:f>'Pc %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04CA-46AE-AB68-5396A5A1EB37}"/>
            </c:ext>
          </c:extLst>
        </c:ser>
        <c:ser>
          <c:idx val="2"/>
          <c:order val="2"/>
          <c:tx>
            <c:strRef>
              <c:f>'Pc % '!$I$6</c:f>
              <c:strCache>
                <c:ptCount val="1"/>
                <c:pt idx="0">
                  <c:v> ±EMP </c:v>
                </c:pt>
              </c:strCache>
            </c:strRef>
          </c:tx>
          <c:spPr>
            <a:ln w="28575" cap="rnd">
              <a:solidFill>
                <a:srgbClr val="FF0000"/>
              </a:solidFill>
              <a:round/>
            </a:ln>
            <a:effectLst/>
          </c:spPr>
          <c:marker>
            <c:symbol val="none"/>
          </c:marker>
          <c:dLbls>
            <c:delete val="1"/>
          </c:dLbls>
          <c:val>
            <c:numRef>
              <c:f>'Pc %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04CA-46AE-AB68-5396A5A1EB37}"/>
            </c:ext>
          </c:extLst>
        </c:ser>
        <c:dLbls>
          <c:dLblPos val="t"/>
          <c:showLegendKey val="0"/>
          <c:showVal val="1"/>
          <c:showCatName val="0"/>
          <c:showSerName val="0"/>
          <c:showPercent val="0"/>
          <c:showBubbleSize val="0"/>
        </c:dLbls>
        <c:marker val="1"/>
        <c:smooth val="0"/>
        <c:axId val="142648832"/>
        <c:axId val="142650368"/>
      </c:lineChart>
      <c:dateAx>
        <c:axId val="14264883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2650368"/>
        <c:crosses val="autoZero"/>
        <c:auto val="0"/>
        <c:lblOffset val="100"/>
        <c:baseTimeUnit val="days"/>
        <c:majorUnit val="1"/>
      </c:dateAx>
      <c:valAx>
        <c:axId val="142650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2648832"/>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5393100563795612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83-4BF9-A81F-89AD2007465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'!$G$8</c:f>
                <c:numCache>
                  <c:formatCode>General</c:formatCode>
                  <c:ptCount val="1"/>
                  <c:pt idx="0">
                    <c:v>#N/A</c:v>
                  </c:pt>
                </c:numCache>
              </c:numRef>
            </c:plus>
            <c:minus>
              <c:numRef>
                <c:f>'Pc % '!$G$8</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'!$F$8</c:f>
              <c:numCache>
                <c:formatCode>0.000</c:formatCode>
                <c:ptCount val="1"/>
                <c:pt idx="0">
                  <c:v>0</c:v>
                </c:pt>
              </c:numCache>
            </c:numRef>
          </c:val>
          <c:smooth val="0"/>
          <c:extLst>
            <c:ext xmlns:c16="http://schemas.microsoft.com/office/drawing/2014/chart" uri="{C3380CC4-5D6E-409C-BE32-E72D297353CC}">
              <c16:uniqueId val="{00000001-3471-45F3-B156-03DA0CBC68AB}"/>
            </c:ext>
          </c:extLst>
        </c:ser>
        <c:ser>
          <c:idx val="1"/>
          <c:order val="1"/>
          <c:tx>
            <c:strRef>
              <c:f>'Pc % '!$H$6</c:f>
              <c:strCache>
                <c:ptCount val="1"/>
                <c:pt idx="0">
                  <c:v> ±EMP </c:v>
                </c:pt>
              </c:strCache>
            </c:strRef>
          </c:tx>
          <c:spPr>
            <a:ln w="28575" cap="rnd">
              <a:solidFill>
                <a:srgbClr val="FF0000"/>
              </a:solidFill>
              <a:round/>
            </a:ln>
            <a:effectLst/>
          </c:spPr>
          <c:marker>
            <c:symbol val="none"/>
          </c:marker>
          <c:val>
            <c:numRef>
              <c:f>'Pc %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3471-45F3-B156-03DA0CBC68AB}"/>
            </c:ext>
          </c:extLst>
        </c:ser>
        <c:ser>
          <c:idx val="2"/>
          <c:order val="2"/>
          <c:tx>
            <c:strRef>
              <c:f>'Pc % '!$I$6</c:f>
              <c:strCache>
                <c:ptCount val="1"/>
                <c:pt idx="0">
                  <c:v> ±EMP </c:v>
                </c:pt>
              </c:strCache>
            </c:strRef>
          </c:tx>
          <c:spPr>
            <a:ln w="28575" cap="rnd">
              <a:solidFill>
                <a:srgbClr val="FF0000"/>
              </a:solidFill>
              <a:round/>
            </a:ln>
            <a:effectLst/>
          </c:spPr>
          <c:marker>
            <c:symbol val="none"/>
          </c:marker>
          <c:val>
            <c:numRef>
              <c:f>'Pc %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3471-45F3-B156-03DA0CBC68AB}"/>
            </c:ext>
          </c:extLst>
        </c:ser>
        <c:dLbls>
          <c:showLegendKey val="0"/>
          <c:showVal val="0"/>
          <c:showCatName val="0"/>
          <c:showSerName val="0"/>
          <c:showPercent val="0"/>
          <c:showBubbleSize val="0"/>
        </c:dLbls>
        <c:marker val="1"/>
        <c:smooth val="0"/>
        <c:axId val="195308928"/>
        <c:axId val="195310720"/>
      </c:lineChart>
      <c:dateAx>
        <c:axId val="19530892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5310720"/>
        <c:crosses val="autoZero"/>
        <c:auto val="0"/>
        <c:lblOffset val="100"/>
        <c:baseTimeUnit val="days"/>
        <c:majorUnit val="1"/>
      </c:dateAx>
      <c:valAx>
        <c:axId val="195310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5308928"/>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'!$F$106:$F$108</c:f>
              <c:numCache>
                <c:formatCode>0.0</c:formatCode>
                <c:ptCount val="3"/>
                <c:pt idx="0" formatCode="General">
                  <c:v>33.299999999999997</c:v>
                </c:pt>
                <c:pt idx="1">
                  <c:v>51.2</c:v>
                </c:pt>
                <c:pt idx="2" formatCode="General">
                  <c:v>77.099999999999994</c:v>
                </c:pt>
              </c:numCache>
            </c:numRef>
          </c:xVal>
          <c:yVal>
            <c:numRef>
              <c:f>'DATOS % '!$H$106:$H$108</c:f>
              <c:numCache>
                <c:formatCode>0.0</c:formatCode>
                <c:ptCount val="3"/>
                <c:pt idx="0" formatCode="General">
                  <c:v>-3.3</c:v>
                </c:pt>
                <c:pt idx="1">
                  <c:v>-1.3</c:v>
                </c:pt>
                <c:pt idx="2" formatCode="General">
                  <c:v>3</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93110400"/>
        <c:axId val="193111936"/>
      </c:scatterChart>
      <c:valAx>
        <c:axId val="1931104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11936"/>
        <c:crosses val="autoZero"/>
        <c:crossBetween val="midCat"/>
      </c:valAx>
      <c:valAx>
        <c:axId val="1931119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10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'!$G$9</c:f>
                <c:numCache>
                  <c:formatCode>General</c:formatCode>
                  <c:ptCount val="1"/>
                  <c:pt idx="0">
                    <c:v>#N/A</c:v>
                  </c:pt>
                </c:numCache>
              </c:numRef>
            </c:plus>
            <c:minus>
              <c:numRef>
                <c:f>'Pc % '!$G$9</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'!$F$9</c:f>
              <c:numCache>
                <c:formatCode>0.000</c:formatCode>
                <c:ptCount val="1"/>
                <c:pt idx="0">
                  <c:v>0</c:v>
                </c:pt>
              </c:numCache>
            </c:numRef>
          </c:val>
          <c:smooth val="0"/>
          <c:extLst>
            <c:ext xmlns:c16="http://schemas.microsoft.com/office/drawing/2014/chart" uri="{C3380CC4-5D6E-409C-BE32-E72D297353CC}">
              <c16:uniqueId val="{00000000-1ACE-447F-BF99-2AAABA27E4F9}"/>
            </c:ext>
          </c:extLst>
        </c:ser>
        <c:ser>
          <c:idx val="1"/>
          <c:order val="1"/>
          <c:tx>
            <c:strRef>
              <c:f>'Pc % '!$H$6</c:f>
              <c:strCache>
                <c:ptCount val="1"/>
                <c:pt idx="0">
                  <c:v> ±EMP </c:v>
                </c:pt>
              </c:strCache>
            </c:strRef>
          </c:tx>
          <c:spPr>
            <a:ln w="28575" cap="rnd">
              <a:solidFill>
                <a:srgbClr val="FF0000"/>
              </a:solidFill>
              <a:round/>
            </a:ln>
            <a:effectLst/>
          </c:spPr>
          <c:marker>
            <c:symbol val="none"/>
          </c:marker>
          <c:dLbls>
            <c:delete val="1"/>
          </c:dLbls>
          <c:val>
            <c:numRef>
              <c:f>'Pc %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1-1ACE-447F-BF99-2AAABA27E4F9}"/>
            </c:ext>
          </c:extLst>
        </c:ser>
        <c:ser>
          <c:idx val="2"/>
          <c:order val="2"/>
          <c:tx>
            <c:strRef>
              <c:f>'Pc % '!$I$6</c:f>
              <c:strCache>
                <c:ptCount val="1"/>
                <c:pt idx="0">
                  <c:v> ±EMP </c:v>
                </c:pt>
              </c:strCache>
            </c:strRef>
          </c:tx>
          <c:spPr>
            <a:ln w="28575" cap="rnd">
              <a:solidFill>
                <a:srgbClr val="FF0000"/>
              </a:solidFill>
              <a:round/>
            </a:ln>
            <a:effectLst/>
          </c:spPr>
          <c:marker>
            <c:symbol val="none"/>
          </c:marker>
          <c:dLbls>
            <c:delete val="1"/>
          </c:dLbls>
          <c:val>
            <c:numRef>
              <c:f>'Pc %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1ACE-447F-BF99-2AAABA27E4F9}"/>
            </c:ext>
          </c:extLst>
        </c:ser>
        <c:dLbls>
          <c:dLblPos val="t"/>
          <c:showLegendKey val="0"/>
          <c:showVal val="1"/>
          <c:showCatName val="0"/>
          <c:showSerName val="0"/>
          <c:showPercent val="0"/>
          <c:showBubbleSize val="0"/>
        </c:dLbls>
        <c:marker val="1"/>
        <c:smooth val="0"/>
        <c:axId val="195359872"/>
        <c:axId val="195361408"/>
      </c:lineChart>
      <c:dateAx>
        <c:axId val="19535987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5361408"/>
        <c:crosses val="autoZero"/>
        <c:auto val="0"/>
        <c:lblOffset val="100"/>
        <c:baseTimeUnit val="days"/>
        <c:majorUnit val="1"/>
      </c:dateAx>
      <c:valAx>
        <c:axId val="195361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5359872"/>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9666076306330213E-2"/>
                  <c:y val="-0.1445709914186476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BD-4076-A1E1-A106D268B7C5}"/>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'!$G$10</c:f>
                <c:numCache>
                  <c:formatCode>General</c:formatCode>
                  <c:ptCount val="1"/>
                  <c:pt idx="0">
                    <c:v>#N/A</c:v>
                  </c:pt>
                </c:numCache>
              </c:numRef>
            </c:plus>
            <c:minus>
              <c:numRef>
                <c:f>'Pc % '!$G$10</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'!$F$10</c:f>
              <c:numCache>
                <c:formatCode>0.000</c:formatCode>
                <c:ptCount val="1"/>
                <c:pt idx="0">
                  <c:v>0</c:v>
                </c:pt>
              </c:numCache>
            </c:numRef>
          </c:val>
          <c:smooth val="0"/>
          <c:extLst>
            <c:ext xmlns:c16="http://schemas.microsoft.com/office/drawing/2014/chart" uri="{C3380CC4-5D6E-409C-BE32-E72D297353CC}">
              <c16:uniqueId val="{00000000-792D-401C-8747-6F483D8420B2}"/>
            </c:ext>
          </c:extLst>
        </c:ser>
        <c:ser>
          <c:idx val="1"/>
          <c:order val="1"/>
          <c:tx>
            <c:strRef>
              <c:f>'Pc % '!$H$6</c:f>
              <c:strCache>
                <c:ptCount val="1"/>
                <c:pt idx="0">
                  <c:v> ±EMP </c:v>
                </c:pt>
              </c:strCache>
            </c:strRef>
          </c:tx>
          <c:spPr>
            <a:ln w="28575" cap="rnd">
              <a:solidFill>
                <a:schemeClr val="accent2"/>
              </a:solidFill>
              <a:round/>
            </a:ln>
            <a:effectLst/>
          </c:spPr>
          <c:marker>
            <c:symbol val="none"/>
          </c:marker>
          <c:dLbls>
            <c:delete val="1"/>
          </c:dLbls>
          <c:val>
            <c:numRef>
              <c:f>'Pc % '!$P$10:$P$11</c:f>
              <c:numCache>
                <c:formatCode>General</c:formatCode>
                <c:ptCount val="2"/>
                <c:pt idx="0">
                  <c:v>2</c:v>
                </c:pt>
                <c:pt idx="1">
                  <c:v>2</c:v>
                </c:pt>
              </c:numCache>
            </c:numRef>
          </c:val>
          <c:smooth val="0"/>
          <c:extLst>
            <c:ext xmlns:c16="http://schemas.microsoft.com/office/drawing/2014/chart" uri="{C3380CC4-5D6E-409C-BE32-E72D297353CC}">
              <c16:uniqueId val="{00000001-792D-401C-8747-6F483D8420B2}"/>
            </c:ext>
          </c:extLst>
        </c:ser>
        <c:ser>
          <c:idx val="2"/>
          <c:order val="2"/>
          <c:tx>
            <c:strRef>
              <c:f>'Pc %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71BD-4076-A1E1-A106D268B7C5}"/>
              </c:ext>
            </c:extLst>
          </c:dPt>
          <c:dLbls>
            <c:delete val="1"/>
          </c:dLbls>
          <c:val>
            <c:numRef>
              <c:f>'Pc % '!$Q$10:$Q$11</c:f>
              <c:numCache>
                <c:formatCode>General</c:formatCode>
                <c:ptCount val="2"/>
                <c:pt idx="0">
                  <c:v>-2</c:v>
                </c:pt>
                <c:pt idx="1">
                  <c:v>-2</c:v>
                </c:pt>
              </c:numCache>
            </c:numRef>
          </c:val>
          <c:smooth val="0"/>
          <c:extLst>
            <c:ext xmlns:c16="http://schemas.microsoft.com/office/drawing/2014/chart" uri="{C3380CC4-5D6E-409C-BE32-E72D297353CC}">
              <c16:uniqueId val="{00000002-792D-401C-8747-6F483D8420B2}"/>
            </c:ext>
          </c:extLst>
        </c:ser>
        <c:dLbls>
          <c:dLblPos val="t"/>
          <c:showLegendKey val="0"/>
          <c:showVal val="1"/>
          <c:showCatName val="0"/>
          <c:showSerName val="0"/>
          <c:showPercent val="0"/>
          <c:showBubbleSize val="0"/>
        </c:dLbls>
        <c:marker val="1"/>
        <c:smooth val="0"/>
        <c:axId val="198299648"/>
        <c:axId val="198301184"/>
      </c:lineChart>
      <c:dateAx>
        <c:axId val="19829964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8301184"/>
        <c:crosses val="autoZero"/>
        <c:auto val="0"/>
        <c:lblOffset val="100"/>
        <c:baseTimeUnit val="days"/>
        <c:majorUnit val="1"/>
      </c:dateAx>
      <c:valAx>
        <c:axId val="198301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8299648"/>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3496906647587235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08-4C4B-971D-7CE78FD3B6D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'!$G$11</c:f>
                <c:numCache>
                  <c:formatCode>General</c:formatCode>
                  <c:ptCount val="1"/>
                  <c:pt idx="0">
                    <c:v>#N/A</c:v>
                  </c:pt>
                </c:numCache>
              </c:numRef>
            </c:plus>
            <c:minus>
              <c:numRef>
                <c:f>'Pc % '!$G$11</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'!$F$11</c:f>
              <c:numCache>
                <c:formatCode>0.000</c:formatCode>
                <c:ptCount val="1"/>
                <c:pt idx="0">
                  <c:v>0</c:v>
                </c:pt>
              </c:numCache>
            </c:numRef>
          </c:val>
          <c:smooth val="0"/>
          <c:extLst>
            <c:ext xmlns:c16="http://schemas.microsoft.com/office/drawing/2014/chart" uri="{C3380CC4-5D6E-409C-BE32-E72D297353CC}">
              <c16:uniqueId val="{00000000-C220-4269-A7D9-66BFCA331D29}"/>
            </c:ext>
          </c:extLst>
        </c:ser>
        <c:ser>
          <c:idx val="1"/>
          <c:order val="1"/>
          <c:tx>
            <c:strRef>
              <c:f>'Pc % '!$H$6</c:f>
              <c:strCache>
                <c:ptCount val="1"/>
                <c:pt idx="0">
                  <c:v> ±EMP </c:v>
                </c:pt>
              </c:strCache>
            </c:strRef>
          </c:tx>
          <c:spPr>
            <a:ln w="28575" cap="rnd">
              <a:solidFill>
                <a:schemeClr val="accent2"/>
              </a:solidFill>
              <a:round/>
            </a:ln>
            <a:effectLst/>
          </c:spPr>
          <c:marker>
            <c:symbol val="none"/>
          </c:marker>
          <c:dLbls>
            <c:delete val="1"/>
          </c:dLbls>
          <c:val>
            <c:numRef>
              <c:f>'Pc % '!$P$10:$P$11</c:f>
              <c:numCache>
                <c:formatCode>General</c:formatCode>
                <c:ptCount val="2"/>
                <c:pt idx="0">
                  <c:v>2</c:v>
                </c:pt>
                <c:pt idx="1">
                  <c:v>2</c:v>
                </c:pt>
              </c:numCache>
            </c:numRef>
          </c:val>
          <c:smooth val="0"/>
          <c:extLst>
            <c:ext xmlns:c16="http://schemas.microsoft.com/office/drawing/2014/chart" uri="{C3380CC4-5D6E-409C-BE32-E72D297353CC}">
              <c16:uniqueId val="{00000001-C220-4269-A7D9-66BFCA331D29}"/>
            </c:ext>
          </c:extLst>
        </c:ser>
        <c:ser>
          <c:idx val="2"/>
          <c:order val="2"/>
          <c:tx>
            <c:strRef>
              <c:f>'Pc %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A508-4C4B-971D-7CE78FD3B6DC}"/>
              </c:ext>
            </c:extLst>
          </c:dPt>
          <c:dLbls>
            <c:delete val="1"/>
          </c:dLbls>
          <c:val>
            <c:numRef>
              <c:f>'Pc % '!$Q$10:$Q$11</c:f>
              <c:numCache>
                <c:formatCode>General</c:formatCode>
                <c:ptCount val="2"/>
                <c:pt idx="0">
                  <c:v>-2</c:v>
                </c:pt>
                <c:pt idx="1">
                  <c:v>-2</c:v>
                </c:pt>
              </c:numCache>
            </c:numRef>
          </c:val>
          <c:smooth val="0"/>
          <c:extLst>
            <c:ext xmlns:c16="http://schemas.microsoft.com/office/drawing/2014/chart" uri="{C3380CC4-5D6E-409C-BE32-E72D297353CC}">
              <c16:uniqueId val="{00000002-C220-4269-A7D9-66BFCA331D29}"/>
            </c:ext>
          </c:extLst>
        </c:ser>
        <c:dLbls>
          <c:dLblPos val="t"/>
          <c:showLegendKey val="0"/>
          <c:showVal val="1"/>
          <c:showCatName val="0"/>
          <c:showSerName val="0"/>
          <c:showPercent val="0"/>
          <c:showBubbleSize val="0"/>
        </c:dLbls>
        <c:marker val="1"/>
        <c:smooth val="0"/>
        <c:axId val="198027904"/>
        <c:axId val="198050176"/>
      </c:lineChart>
      <c:dateAx>
        <c:axId val="19802790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8050176"/>
        <c:crosses val="autoZero"/>
        <c:auto val="0"/>
        <c:lblOffset val="100"/>
        <c:baseTimeUnit val="days"/>
        <c:majorUnit val="1"/>
      </c:dateAx>
      <c:valAx>
        <c:axId val="198050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8027904"/>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RT03-F15 %'!$E$101</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RT03-F15 %'!$D$103:$D$107</c:f>
                <c:numCache>
                  <c:formatCode>General</c:formatCode>
                  <c:ptCount val="5"/>
                  <c:pt idx="0">
                    <c:v>#N/A</c:v>
                  </c:pt>
                  <c:pt idx="1">
                    <c:v>#N/A</c:v>
                  </c:pt>
                  <c:pt idx="2">
                    <c:v>#N/A</c:v>
                  </c:pt>
                  <c:pt idx="3">
                    <c:v>#N/A</c:v>
                  </c:pt>
                  <c:pt idx="4">
                    <c:v>#N/A</c:v>
                  </c:pt>
                </c:numCache>
              </c:numRef>
            </c:plus>
            <c:minus>
              <c:numRef>
                <c:f>' RT03-F15 %'!$D$103:$D$107</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RT03-F15 %'!$A$103:$A$107</c:f>
              <c:numCache>
                <c:formatCode>\ 0\ 000.0</c:formatCode>
                <c:ptCount val="5"/>
                <c:pt idx="0" formatCode="General">
                  <c:v>#N/A</c:v>
                </c:pt>
                <c:pt idx="1">
                  <c:v>#N/A</c:v>
                </c:pt>
                <c:pt idx="2">
                  <c:v>#N/A</c:v>
                </c:pt>
                <c:pt idx="3">
                  <c:v>#N/A</c:v>
                </c:pt>
                <c:pt idx="4">
                  <c:v>#N/A</c:v>
                </c:pt>
              </c:numCache>
            </c:numRef>
          </c:xVal>
          <c:yVal>
            <c:numRef>
              <c:f>' RT03-F15 %'!$C$103:$C$107</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AB1D-4EFB-9B3B-AB03A0DDED75}"/>
            </c:ext>
          </c:extLst>
        </c:ser>
        <c:ser>
          <c:idx val="1"/>
          <c:order val="1"/>
          <c:tx>
            <c:strRef>
              <c:f>' RT03-F15 %'!$F$93</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RT03-F15 %'!$E$94:$E$99</c:f>
              <c:numCache>
                <c:formatCode>0\ 000</c:formatCode>
                <c:ptCount val="6"/>
                <c:pt idx="0" formatCode="General">
                  <c:v>#N/A</c:v>
                </c:pt>
                <c:pt idx="1">
                  <c:v>#N/A</c:v>
                </c:pt>
                <c:pt idx="2">
                  <c:v>#N/A</c:v>
                </c:pt>
                <c:pt idx="3">
                  <c:v>#N/A</c:v>
                </c:pt>
                <c:pt idx="4">
                  <c:v>#N/A</c:v>
                </c:pt>
                <c:pt idx="5">
                  <c:v>#N/A</c:v>
                </c:pt>
              </c:numCache>
            </c:numRef>
          </c:xVal>
          <c:yVal>
            <c:numRef>
              <c:f>' RT03-F15 %'!$F$94:$F$99</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AB1D-4EFB-9B3B-AB03A0DDED75}"/>
            </c:ext>
          </c:extLst>
        </c:ser>
        <c:ser>
          <c:idx val="2"/>
          <c:order val="2"/>
          <c:tx>
            <c:strRef>
              <c:f>' RT03-F15 %'!$G$93</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RT03-F15 %'!$E$94:$E$99</c:f>
              <c:numCache>
                <c:formatCode>0\ 000</c:formatCode>
                <c:ptCount val="6"/>
                <c:pt idx="0" formatCode="General">
                  <c:v>#N/A</c:v>
                </c:pt>
                <c:pt idx="1">
                  <c:v>#N/A</c:v>
                </c:pt>
                <c:pt idx="2">
                  <c:v>#N/A</c:v>
                </c:pt>
                <c:pt idx="3">
                  <c:v>#N/A</c:v>
                </c:pt>
                <c:pt idx="4">
                  <c:v>#N/A</c:v>
                </c:pt>
                <c:pt idx="5">
                  <c:v>#N/A</c:v>
                </c:pt>
              </c:numCache>
            </c:numRef>
          </c:xVal>
          <c:yVal>
            <c:numRef>
              <c:f>' RT03-F15 %'!$G$94:$G$99</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198140288"/>
        <c:axId val="198142592"/>
      </c:scatterChart>
      <c:valAx>
        <c:axId val="198140288"/>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8142592"/>
        <c:crosses val="autoZero"/>
        <c:crossBetween val="midCat"/>
      </c:valAx>
      <c:valAx>
        <c:axId val="19814259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8140288"/>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RT03-F39 %'!$E$100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RT03-F39 %'!$D$102:$D$106</c:f>
                <c:numCache>
                  <c:formatCode>General</c:formatCode>
                  <c:ptCount val="5"/>
                  <c:pt idx="0">
                    <c:v>#N/A</c:v>
                  </c:pt>
                  <c:pt idx="1">
                    <c:v>#N/A</c:v>
                  </c:pt>
                  <c:pt idx="2">
                    <c:v>#N/A</c:v>
                  </c:pt>
                  <c:pt idx="3">
                    <c:v>#N/A</c:v>
                  </c:pt>
                  <c:pt idx="4">
                    <c:v>#N/A</c:v>
                  </c:pt>
                </c:numCache>
              </c:numRef>
            </c:plus>
            <c:minus>
              <c:numRef>
                <c:f>' RT03-F39 %'!$D$102:$D$106</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RT03-F39 %'!$A$102:$A$106</c:f>
              <c:numCache>
                <c:formatCode>\ 0\ 000.0</c:formatCode>
                <c:ptCount val="5"/>
                <c:pt idx="0" formatCode="General">
                  <c:v>#N/A</c:v>
                </c:pt>
                <c:pt idx="1">
                  <c:v>#N/A</c:v>
                </c:pt>
                <c:pt idx="2">
                  <c:v>#N/A</c:v>
                </c:pt>
                <c:pt idx="3">
                  <c:v>#N/A</c:v>
                </c:pt>
                <c:pt idx="4">
                  <c:v>#N/A</c:v>
                </c:pt>
              </c:numCache>
            </c:numRef>
          </c:xVal>
          <c:yVal>
            <c:numRef>
              <c:f>' RT03-F39 %'!$C$102:$C$106</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36B1-4052-B077-FF9EAD15D118}"/>
            </c:ext>
          </c:extLst>
        </c:ser>
        <c:ser>
          <c:idx val="1"/>
          <c:order val="1"/>
          <c:tx>
            <c:strRef>
              <c:f>' RT03-F39 %'!$F$92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RT03-F39 %'!$E$93:$E$98</c:f>
              <c:numCache>
                <c:formatCode>0\ 000</c:formatCode>
                <c:ptCount val="6"/>
                <c:pt idx="0">
                  <c:v>#N/A</c:v>
                </c:pt>
                <c:pt idx="1">
                  <c:v>#N/A</c:v>
                </c:pt>
                <c:pt idx="2">
                  <c:v>#N/A</c:v>
                </c:pt>
                <c:pt idx="3">
                  <c:v>#N/A</c:v>
                </c:pt>
                <c:pt idx="4">
                  <c:v>#N/A</c:v>
                </c:pt>
                <c:pt idx="5">
                  <c:v>0</c:v>
                </c:pt>
              </c:numCache>
            </c:numRef>
          </c:xVal>
          <c:yVal>
            <c:numRef>
              <c:f>' RT03-F39 %'!$F$93:$F$98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36B1-4052-B077-FF9EAD15D118}"/>
            </c:ext>
          </c:extLst>
        </c:ser>
        <c:ser>
          <c:idx val="2"/>
          <c:order val="2"/>
          <c:tx>
            <c:strRef>
              <c:f>' RT03-F39 %'!$G$92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RT03-F39 %'!$E$93:$E$98</c:f>
              <c:numCache>
                <c:formatCode>0\ 000</c:formatCode>
                <c:ptCount val="6"/>
                <c:pt idx="0">
                  <c:v>#N/A</c:v>
                </c:pt>
                <c:pt idx="1">
                  <c:v>#N/A</c:v>
                </c:pt>
                <c:pt idx="2">
                  <c:v>#N/A</c:v>
                </c:pt>
                <c:pt idx="3">
                  <c:v>#N/A</c:v>
                </c:pt>
                <c:pt idx="4">
                  <c:v>#N/A</c:v>
                </c:pt>
                <c:pt idx="5">
                  <c:v>0</c:v>
                </c:pt>
              </c:numCache>
            </c:numRef>
          </c:xVal>
          <c:yVal>
            <c:numRef>
              <c:f>' RT03-F39 %'!$G$93:$G$98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36B1-4052-B077-FF9EAD15D118}"/>
            </c:ext>
          </c:extLst>
        </c:ser>
        <c:dLbls>
          <c:showLegendKey val="0"/>
          <c:showVal val="0"/>
          <c:showCatName val="0"/>
          <c:showSerName val="0"/>
          <c:showPercent val="0"/>
          <c:showBubbleSize val="0"/>
        </c:dLbls>
        <c:axId val="195784064"/>
        <c:axId val="195794816"/>
      </c:scatterChart>
      <c:valAx>
        <c:axId val="195784064"/>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5794816"/>
        <c:crosses val="autoZero"/>
        <c:crossBetween val="midCat"/>
      </c:valAx>
      <c:valAx>
        <c:axId val="19579481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5784064"/>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'!$F$109:$F$111</c:f>
              <c:numCache>
                <c:formatCode>General</c:formatCode>
                <c:ptCount val="3"/>
                <c:pt idx="0">
                  <c:v>598.03200000000004</c:v>
                </c:pt>
                <c:pt idx="1">
                  <c:v>752.71299999999997</c:v>
                </c:pt>
                <c:pt idx="2" formatCode="0.0">
                  <c:v>848.5</c:v>
                </c:pt>
              </c:numCache>
            </c:numRef>
          </c:xVal>
          <c:yVal>
            <c:numRef>
              <c:f>'DATOS % '!$H$109:$H$111</c:f>
              <c:numCache>
                <c:formatCode>General</c:formatCode>
                <c:ptCount val="3"/>
                <c:pt idx="0" formatCode="0.000">
                  <c:v>1.534</c:v>
                </c:pt>
                <c:pt idx="1">
                  <c:v>1.0549999999999999</c:v>
                </c:pt>
                <c:pt idx="2">
                  <c:v>0.77800000000000002</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93121664"/>
        <c:axId val="194745472"/>
      </c:scatterChart>
      <c:valAx>
        <c:axId val="1931216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745472"/>
        <c:crosses val="autoZero"/>
        <c:crossBetween val="midCat"/>
      </c:valAx>
      <c:valAx>
        <c:axId val="1947454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216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'!$F$114:$F$116</c:f>
              <c:numCache>
                <c:formatCode>General</c:formatCode>
                <c:ptCount val="3"/>
                <c:pt idx="0" formatCode="0.0">
                  <c:v>15.3</c:v>
                </c:pt>
                <c:pt idx="1">
                  <c:v>24.5</c:v>
                </c:pt>
                <c:pt idx="2">
                  <c:v>29.5</c:v>
                </c:pt>
              </c:numCache>
            </c:numRef>
          </c:xVal>
          <c:yVal>
            <c:numRef>
              <c:f>'DATOS % '!$H$114:$H$116</c:f>
              <c:numCache>
                <c:formatCode>General</c:formatCode>
                <c:ptCount val="3"/>
                <c:pt idx="0">
                  <c:v>-0.1</c:v>
                </c:pt>
                <c:pt idx="1">
                  <c:v>0.3</c:v>
                </c:pt>
                <c:pt idx="2">
                  <c:v>0.2</c:v>
                </c:pt>
              </c:numCache>
            </c:numRef>
          </c:yVal>
          <c:smooth val="0"/>
          <c:extLs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94644608"/>
        <c:axId val="194658688"/>
      </c:scatterChart>
      <c:valAx>
        <c:axId val="1946446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58688"/>
        <c:crosses val="autoZero"/>
        <c:crossBetween val="midCat"/>
      </c:valAx>
      <c:valAx>
        <c:axId val="194658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446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'!$F$117:$F$119</c:f>
              <c:numCache>
                <c:formatCode>General</c:formatCode>
                <c:ptCount val="3"/>
                <c:pt idx="0">
                  <c:v>32.4</c:v>
                </c:pt>
                <c:pt idx="1">
                  <c:v>50.2</c:v>
                </c:pt>
                <c:pt idx="2">
                  <c:v>76.099999999999994</c:v>
                </c:pt>
              </c:numCache>
            </c:numRef>
          </c:xVal>
          <c:yVal>
            <c:numRef>
              <c:f>'DATOS % '!$H$117:$H$119</c:f>
              <c:numCache>
                <c:formatCode>#,##0.0</c:formatCode>
                <c:ptCount val="3"/>
                <c:pt idx="0">
                  <c:v>-2.4</c:v>
                </c:pt>
                <c:pt idx="1">
                  <c:v>-0.2</c:v>
                </c:pt>
                <c:pt idx="2">
                  <c:v>3.9</c:v>
                </c:pt>
              </c:numCache>
            </c:numRef>
          </c:yVal>
          <c:smooth val="0"/>
          <c:extLs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94699264"/>
        <c:axId val="194700800"/>
      </c:scatterChart>
      <c:valAx>
        <c:axId val="194699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700800"/>
        <c:crosses val="autoZero"/>
        <c:crossBetween val="midCat"/>
      </c:valAx>
      <c:valAx>
        <c:axId val="1947008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99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'!$F$120:$F$122</c:f>
              <c:numCache>
                <c:formatCode>General</c:formatCode>
                <c:ptCount val="3"/>
                <c:pt idx="0" formatCode="0.0">
                  <c:v>397.70400000000001</c:v>
                </c:pt>
                <c:pt idx="1">
                  <c:v>752.71299999999997</c:v>
                </c:pt>
                <c:pt idx="2">
                  <c:v>1098.79</c:v>
                </c:pt>
              </c:numCache>
            </c:numRef>
          </c:xVal>
          <c:yVal>
            <c:numRef>
              <c:f>'DATOS % '!$H$120:$H$122</c:f>
              <c:numCache>
                <c:formatCode>#,##0.00</c:formatCode>
                <c:ptCount val="3"/>
                <c:pt idx="0">
                  <c:v>2.25</c:v>
                </c:pt>
                <c:pt idx="1">
                  <c:v>1.0549999999999999</c:v>
                </c:pt>
                <c:pt idx="2">
                  <c:v>0.84</c:v>
                </c:pt>
              </c:numCache>
            </c:numRef>
          </c:yVal>
          <c:smooth val="0"/>
          <c:extLs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94804736"/>
        <c:axId val="194818816"/>
      </c:scatterChart>
      <c:valAx>
        <c:axId val="194804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818816"/>
        <c:crosses val="autoZero"/>
        <c:crossBetween val="midCat"/>
      </c:valAx>
      <c:valAx>
        <c:axId val="1948188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804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'!$F$125:$F$127</c:f>
              <c:numCache>
                <c:formatCode>General</c:formatCode>
                <c:ptCount val="3"/>
                <c:pt idx="0" formatCode="0.0">
                  <c:v>15.3</c:v>
                </c:pt>
                <c:pt idx="1">
                  <c:v>24.8</c:v>
                </c:pt>
                <c:pt idx="2">
                  <c:v>29.6</c:v>
                </c:pt>
              </c:numCache>
            </c:numRef>
          </c:xVal>
          <c:yVal>
            <c:numRef>
              <c:f>'DATOS % '!$H$125:$H$127</c:f>
              <c:numCache>
                <c:formatCode>0.0</c:formatCode>
                <c:ptCount val="3"/>
                <c:pt idx="0">
                  <c:v>-0.1</c:v>
                </c:pt>
                <c:pt idx="1">
                  <c:v>0</c:v>
                </c:pt>
                <c:pt idx="2" formatCode="General">
                  <c:v>0.1</c:v>
                </c:pt>
              </c:numCache>
            </c:numRef>
          </c:yVal>
          <c:smooth val="0"/>
          <c:extLs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94482560"/>
        <c:axId val="194484096"/>
      </c:scatterChart>
      <c:valAx>
        <c:axId val="194482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484096"/>
        <c:crosses val="autoZero"/>
        <c:crossBetween val="midCat"/>
      </c:valAx>
      <c:valAx>
        <c:axId val="1944840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482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'!$F$128:$F$130</c:f>
              <c:numCache>
                <c:formatCode>General</c:formatCode>
                <c:ptCount val="3"/>
                <c:pt idx="0">
                  <c:v>32.299999999999997</c:v>
                </c:pt>
                <c:pt idx="1">
                  <c:v>50.6</c:v>
                </c:pt>
                <c:pt idx="2">
                  <c:v>68.599999999999994</c:v>
                </c:pt>
              </c:numCache>
            </c:numRef>
          </c:xVal>
          <c:yVal>
            <c:numRef>
              <c:f>'DATOS % '!$H$128:$H$130</c:f>
              <c:numCache>
                <c:formatCode>General</c:formatCode>
                <c:ptCount val="3"/>
                <c:pt idx="0">
                  <c:v>-2.2999999999999998</c:v>
                </c:pt>
                <c:pt idx="1">
                  <c:v>-0.6</c:v>
                </c:pt>
                <c:pt idx="2">
                  <c:v>1.4</c:v>
                </c:pt>
              </c:numCache>
            </c:numRef>
          </c:yVal>
          <c:smooth val="0"/>
          <c:extLs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94530688"/>
        <c:axId val="194532480"/>
      </c:scatterChart>
      <c:valAx>
        <c:axId val="1945306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32480"/>
        <c:crosses val="autoZero"/>
        <c:crossBetween val="midCat"/>
      </c:valAx>
      <c:valAx>
        <c:axId val="1945324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306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'!$F$131:$F$133</c:f>
              <c:numCache>
                <c:formatCode>General</c:formatCode>
                <c:ptCount val="3"/>
                <c:pt idx="0" formatCode="0.0">
                  <c:v>397.74599999999998</c:v>
                </c:pt>
                <c:pt idx="1">
                  <c:v>752.61900000000003</c:v>
                </c:pt>
                <c:pt idx="2">
                  <c:v>1098.8340000000001</c:v>
                </c:pt>
              </c:numCache>
            </c:numRef>
          </c:xVal>
          <c:yVal>
            <c:numRef>
              <c:f>'DATOS % '!$H$131:$H$133</c:f>
              <c:numCache>
                <c:formatCode>0.00</c:formatCode>
                <c:ptCount val="3"/>
                <c:pt idx="0">
                  <c:v>2.33</c:v>
                </c:pt>
                <c:pt idx="1">
                  <c:v>0.99099999999999999</c:v>
                </c:pt>
                <c:pt idx="2">
                  <c:v>0.74</c:v>
                </c:pt>
              </c:numCache>
            </c:numRef>
          </c:yVal>
          <c:smooth val="0"/>
          <c:extLs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94570880"/>
        <c:axId val="194589056"/>
      </c:scatterChart>
      <c:valAx>
        <c:axId val="194570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89056"/>
        <c:crosses val="autoZero"/>
        <c:crossBetween val="midCat"/>
      </c:valAx>
      <c:valAx>
        <c:axId val="194589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70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chart" Target="../charts/chart16.xml"/><Relationship Id="rId5" Type="http://schemas.openxmlformats.org/officeDocument/2006/relationships/image" Target="../media/image1.png"/><Relationship Id="rId4"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3.png"/><Relationship Id="rId5" Type="http://schemas.openxmlformats.org/officeDocument/2006/relationships/chart" Target="../charts/chart22.xml"/><Relationship Id="rId4"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microsoft.com/office/2007/relationships/hdphoto" Target="../media/hdphoto1.wdp"/><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105</xdr:row>
      <xdr:rowOff>214766</xdr:rowOff>
    </xdr:from>
    <xdr:to>
      <xdr:col>15</xdr:col>
      <xdr:colOff>696909</xdr:colOff>
      <xdr:row>108</xdr:row>
      <xdr:rowOff>350838</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105</xdr:row>
      <xdr:rowOff>231775</xdr:rowOff>
    </xdr:from>
    <xdr:to>
      <xdr:col>17</xdr:col>
      <xdr:colOff>630915</xdr:colOff>
      <xdr:row>108</xdr:row>
      <xdr:rowOff>367847</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105</xdr:row>
      <xdr:rowOff>268288</xdr:rowOff>
    </xdr:from>
    <xdr:to>
      <xdr:col>19</xdr:col>
      <xdr:colOff>942065</xdr:colOff>
      <xdr:row>109</xdr:row>
      <xdr:rowOff>23360</xdr:rowOff>
    </xdr:to>
    <xdr:graphicFrame macro="">
      <xdr:nvGraphicFramePr>
        <xdr:cNvPr id="23" name="Gráfico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116</xdr:row>
      <xdr:rowOff>238125</xdr:rowOff>
    </xdr:from>
    <xdr:to>
      <xdr:col>15</xdr:col>
      <xdr:colOff>861103</xdr:colOff>
      <xdr:row>119</xdr:row>
      <xdr:rowOff>374197</xdr:rowOff>
    </xdr:to>
    <xdr:graphicFrame macro="">
      <xdr:nvGraphicFramePr>
        <xdr:cNvPr id="25" name="Gráfico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116</xdr:row>
      <xdr:rowOff>228601</xdr:rowOff>
    </xdr:from>
    <xdr:to>
      <xdr:col>17</xdr:col>
      <xdr:colOff>708703</xdr:colOff>
      <xdr:row>119</xdr:row>
      <xdr:rowOff>364673</xdr:rowOff>
    </xdr:to>
    <xdr:graphicFrame macro="">
      <xdr:nvGraphicFramePr>
        <xdr:cNvPr id="26" name="Gráfico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116</xdr:row>
      <xdr:rowOff>250825</xdr:rowOff>
    </xdr:from>
    <xdr:to>
      <xdr:col>19</xdr:col>
      <xdr:colOff>954765</xdr:colOff>
      <xdr:row>120</xdr:row>
      <xdr:rowOff>5897</xdr:rowOff>
    </xdr:to>
    <xdr:graphicFrame macro="">
      <xdr:nvGraphicFramePr>
        <xdr:cNvPr id="27" name="Gráfico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127</xdr:row>
      <xdr:rowOff>269875</xdr:rowOff>
    </xdr:from>
    <xdr:to>
      <xdr:col>15</xdr:col>
      <xdr:colOff>835703</xdr:colOff>
      <xdr:row>131</xdr:row>
      <xdr:rowOff>24947</xdr:rowOff>
    </xdr:to>
    <xdr:graphicFrame macro="">
      <xdr:nvGraphicFramePr>
        <xdr:cNvPr id="28" name="Gráfico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127</xdr:row>
      <xdr:rowOff>293688</xdr:rowOff>
    </xdr:from>
    <xdr:to>
      <xdr:col>17</xdr:col>
      <xdr:colOff>780140</xdr:colOff>
      <xdr:row>131</xdr:row>
      <xdr:rowOff>48760</xdr:rowOff>
    </xdr:to>
    <xdr:graphicFrame macro="">
      <xdr:nvGraphicFramePr>
        <xdr:cNvPr id="29" name="Gráfico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127</xdr:row>
      <xdr:rowOff>277813</xdr:rowOff>
    </xdr:from>
    <xdr:to>
      <xdr:col>19</xdr:col>
      <xdr:colOff>1216702</xdr:colOff>
      <xdr:row>131</xdr:row>
      <xdr:rowOff>32885</xdr:rowOff>
    </xdr:to>
    <xdr:graphicFrame macro="">
      <xdr:nvGraphicFramePr>
        <xdr:cNvPr id="31" name="Gráfico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137</xdr:row>
      <xdr:rowOff>276679</xdr:rowOff>
    </xdr:from>
    <xdr:to>
      <xdr:col>15</xdr:col>
      <xdr:colOff>738185</xdr:colOff>
      <xdr:row>141</xdr:row>
      <xdr:rowOff>31751</xdr:rowOff>
    </xdr:to>
    <xdr:graphicFrame macro="">
      <xdr:nvGraphicFramePr>
        <xdr:cNvPr id="32" name="Gráfico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137</xdr:row>
      <xdr:rowOff>285750</xdr:rowOff>
    </xdr:from>
    <xdr:to>
      <xdr:col>17</xdr:col>
      <xdr:colOff>654274</xdr:colOff>
      <xdr:row>141</xdr:row>
      <xdr:rowOff>40822</xdr:rowOff>
    </xdr:to>
    <xdr:graphicFrame macro="">
      <xdr:nvGraphicFramePr>
        <xdr:cNvPr id="33" name="Gráfico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137</xdr:row>
      <xdr:rowOff>343581</xdr:rowOff>
    </xdr:from>
    <xdr:to>
      <xdr:col>19</xdr:col>
      <xdr:colOff>1044346</xdr:colOff>
      <xdr:row>141</xdr:row>
      <xdr:rowOff>98653</xdr:rowOff>
    </xdr:to>
    <xdr:graphicFrame macro="">
      <xdr:nvGraphicFramePr>
        <xdr:cNvPr id="35" name="Gráfico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147</xdr:row>
      <xdr:rowOff>305593</xdr:rowOff>
    </xdr:from>
    <xdr:to>
      <xdr:col>15</xdr:col>
      <xdr:colOff>875390</xdr:colOff>
      <xdr:row>151</xdr:row>
      <xdr:rowOff>60665</xdr:rowOff>
    </xdr:to>
    <xdr:graphicFrame macro="">
      <xdr:nvGraphicFramePr>
        <xdr:cNvPr id="37" name="Gráfico 36">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147</xdr:row>
      <xdr:rowOff>337345</xdr:rowOff>
    </xdr:from>
    <xdr:to>
      <xdr:col>17</xdr:col>
      <xdr:colOff>776172</xdr:colOff>
      <xdr:row>151</xdr:row>
      <xdr:rowOff>92417</xdr:rowOff>
    </xdr:to>
    <xdr:graphicFrame macro="">
      <xdr:nvGraphicFramePr>
        <xdr:cNvPr id="39" name="Gráfico 38">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147</xdr:row>
      <xdr:rowOff>257969</xdr:rowOff>
    </xdr:from>
    <xdr:to>
      <xdr:col>19</xdr:col>
      <xdr:colOff>1085734</xdr:colOff>
      <xdr:row>151</xdr:row>
      <xdr:rowOff>13041</xdr:rowOff>
    </xdr:to>
    <xdr:graphicFrame macro="">
      <xdr:nvGraphicFramePr>
        <xdr:cNvPr id="41" name="Gráfico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966106</xdr:colOff>
      <xdr:row>0</xdr:row>
      <xdr:rowOff>40823</xdr:rowOff>
    </xdr:from>
    <xdr:to>
      <xdr:col>3</xdr:col>
      <xdr:colOff>489186</xdr:colOff>
      <xdr:row>0</xdr:row>
      <xdr:rowOff>1115787</xdr:rowOff>
    </xdr:to>
    <xdr:pic>
      <xdr:nvPicPr>
        <xdr:cNvPr id="17" name="16 Imagen">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6"/>
        <a:stretch>
          <a:fillRect/>
        </a:stretch>
      </xdr:blipFill>
      <xdr:spPr>
        <a:xfrm>
          <a:off x="2013856" y="40823"/>
          <a:ext cx="2298937" cy="1074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775609</xdr:colOff>
      <xdr:row>72</xdr:row>
      <xdr:rowOff>66771</xdr:rowOff>
    </xdr:from>
    <xdr:ext cx="1941602"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3007180" y="30859735"/>
              <a:ext cx="1941602"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00000000-0008-0000-0100-000002000000}"/>
                </a:ext>
              </a:extLst>
            </xdr:cNvPr>
            <xdr:cNvSpPr txBox="1"/>
          </xdr:nvSpPr>
          <xdr:spPr>
            <a:xfrm>
              <a:off x="3007180" y="30859735"/>
              <a:ext cx="1941602"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82</xdr:row>
      <xdr:rowOff>192983</xdr:rowOff>
    </xdr:from>
    <xdr:ext cx="65" cy="172227"/>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378732</xdr:colOff>
      <xdr:row>77</xdr:row>
      <xdr:rowOff>33483</xdr:rowOff>
    </xdr:from>
    <xdr:ext cx="3071572" cy="371012"/>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610303" y="33003590"/>
              <a:ext cx="3071572" cy="371012"/>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sSubSup>
                          <m:sSubSupPr>
                            <m:ctrlPr>
                              <a:rPr lang="es-CO" sz="1100" b="1" i="1">
                                <a:solidFill>
                                  <a:schemeClr val="tx1"/>
                                </a:solidFill>
                                <a:effectLst/>
                                <a:latin typeface="Cambria Math" panose="02040503050406030204" pitchFamily="18" charset="0"/>
                                <a:ea typeface="+mn-ea"/>
                                <a:cs typeface="+mn-cs"/>
                              </a:rPr>
                            </m:ctrlPr>
                          </m:sSubSupPr>
                          <m:e>
                            <m:r>
                              <a:rPr lang="es-CO" sz="1100" b="1" i="1">
                                <a:solidFill>
                                  <a:schemeClr val="tx1"/>
                                </a:solidFill>
                                <a:effectLst/>
                                <a:latin typeface="Cambria Math" panose="02040503050406030204" pitchFamily="18" charset="0"/>
                                <a:ea typeface="+mn-ea"/>
                                <a:cs typeface="+mn-cs"/>
                              </a:rPr>
                              <m:t>𝒅</m:t>
                            </m:r>
                          </m:e>
                          <m:sub>
                            <m:r>
                              <a:rPr lang="es-CO" sz="1100" b="1" i="1">
                                <a:solidFill>
                                  <a:schemeClr val="tx1"/>
                                </a:solidFill>
                                <a:effectLst/>
                                <a:latin typeface="Cambria Math" panose="02040503050406030204" pitchFamily="18" charset="0"/>
                                <a:ea typeface="+mn-ea"/>
                                <a:cs typeface="+mn-cs"/>
                              </a:rPr>
                              <m:t>𝟎</m:t>
                            </m:r>
                          </m:sub>
                          <m:sup>
                            <m:r>
                              <a:rPr lang="es-CO" sz="1100" b="1" i="1">
                                <a:solidFill>
                                  <a:schemeClr val="tx1"/>
                                </a:solidFill>
                                <a:effectLst/>
                                <a:latin typeface="Cambria Math" panose="02040503050406030204" pitchFamily="18" charset="0"/>
                                <a:ea typeface="+mn-ea"/>
                                <a:cs typeface="+mn-cs"/>
                              </a:rPr>
                              <m:t>𝟐</m:t>
                            </m:r>
                          </m:sup>
                        </m:sSubSup>
                      </m:num>
                      <m:den>
                        <m:r>
                          <a:rPr lang="es-CO" sz="1100" b="1" i="1">
                            <a:solidFill>
                              <a:schemeClr val="tx1"/>
                            </a:solidFill>
                            <a:effectLst/>
                            <a:latin typeface="Cambria Math" panose="02040503050406030204" pitchFamily="18" charset="0"/>
                            <a:ea typeface="+mn-ea"/>
                            <a:cs typeface="+mn-cs"/>
                          </a:rPr>
                          <m:t>𝟏𝟐</m:t>
                        </m:r>
                      </m:den>
                    </m:f>
                    <m:r>
                      <a:rPr lang="es-CO" sz="1100" b="1" i="1">
                        <a:solidFill>
                          <a:schemeClr val="tx1"/>
                        </a:solidFill>
                        <a:effectLst/>
                        <a:latin typeface="Cambria Math" panose="02040503050406030204" pitchFamily="18" charset="0"/>
                        <a:ea typeface="+mn-ea"/>
                        <a:cs typeface="+mn-cs"/>
                      </a:rPr>
                      <m:t>+</m:t>
                    </m:r>
                    <m:f>
                      <m:fPr>
                        <m:ctrlPr>
                          <a:rPr lang="es-CO" sz="1100" b="1" i="1">
                            <a:solidFill>
                              <a:schemeClr val="tx1"/>
                            </a:solidFill>
                            <a:effectLst/>
                            <a:latin typeface="Cambria Math" panose="02040503050406030204" pitchFamily="18" charset="0"/>
                            <a:ea typeface="+mn-ea"/>
                            <a:cs typeface="+mn-cs"/>
                          </a:rPr>
                        </m:ctrlPr>
                      </m:fPr>
                      <m:num>
                        <m:sSubSup>
                          <m:sSubSupPr>
                            <m:ctrlPr>
                              <a:rPr lang="es-CO" sz="1100" b="1" i="1">
                                <a:solidFill>
                                  <a:schemeClr val="tx1"/>
                                </a:solidFill>
                                <a:effectLst/>
                                <a:latin typeface="Cambria Math" panose="02040503050406030204" pitchFamily="18" charset="0"/>
                                <a:ea typeface="+mn-ea"/>
                                <a:cs typeface="+mn-cs"/>
                              </a:rPr>
                            </m:ctrlPr>
                          </m:sSubSupPr>
                          <m:e>
                            <m:r>
                              <a:rPr lang="es-CO" sz="1100" b="1" i="1">
                                <a:solidFill>
                                  <a:schemeClr val="tx1"/>
                                </a:solidFill>
                                <a:effectLst/>
                                <a:latin typeface="Cambria Math" panose="02040503050406030204" pitchFamily="18" charset="0"/>
                                <a:ea typeface="+mn-ea"/>
                                <a:cs typeface="+mn-cs"/>
                              </a:rPr>
                              <m:t>𝒅</m:t>
                            </m:r>
                          </m:e>
                          <m:sub>
                            <m:r>
                              <a:rPr lang="es-CO" sz="1100" b="1" i="1">
                                <a:solidFill>
                                  <a:schemeClr val="tx1"/>
                                </a:solidFill>
                                <a:effectLst/>
                                <a:latin typeface="Cambria Math" panose="02040503050406030204" pitchFamily="18" charset="0"/>
                                <a:ea typeface="+mn-ea"/>
                                <a:cs typeface="+mn-cs"/>
                              </a:rPr>
                              <m:t>𝟏</m:t>
                            </m:r>
                          </m:sub>
                          <m:sup>
                            <m:r>
                              <a:rPr lang="es-CO" sz="1100" b="1" i="1">
                                <a:solidFill>
                                  <a:schemeClr val="tx1"/>
                                </a:solidFill>
                                <a:effectLst/>
                                <a:latin typeface="Cambria Math" panose="02040503050406030204" pitchFamily="18" charset="0"/>
                                <a:ea typeface="+mn-ea"/>
                                <a:cs typeface="+mn-cs"/>
                              </a:rPr>
                              <m:t>𝟐</m:t>
                            </m:r>
                          </m:sup>
                        </m:sSubSup>
                      </m:num>
                      <m:den>
                        <m:r>
                          <a:rPr lang="es-CO" sz="1100" b="1" i="1">
                            <a:solidFill>
                              <a:schemeClr val="tx1"/>
                            </a:solidFill>
                            <a:effectLst/>
                            <a:latin typeface="Cambria Math" panose="02040503050406030204" pitchFamily="18" charset="0"/>
                            <a:ea typeface="+mn-ea"/>
                            <a:cs typeface="+mn-cs"/>
                          </a:rPr>
                          <m:t>𝟏𝟐</m:t>
                        </m:r>
                      </m:den>
                    </m:f>
                    <m:r>
                      <a:rPr lang="es-CO" sz="1100" b="1" i="1">
                        <a:solidFill>
                          <a:schemeClr val="tx1"/>
                        </a:solidFill>
                        <a:effectLst/>
                        <a:latin typeface="Cambria Math" panose="02040503050406030204" pitchFamily="18" charset="0"/>
                        <a:ea typeface="+mn-ea"/>
                        <a:cs typeface="+mn-cs"/>
                      </a:rPr>
                      <m:t>+</m:t>
                    </m:r>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𝒔</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𝒖</m:t>
                    </m:r>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𝜹</m:t>
                        </m:r>
                        <m:r>
                          <a:rPr lang="es-CO" sz="1100" b="1" i="1">
                            <a:solidFill>
                              <a:schemeClr val="tx1"/>
                            </a:solidFill>
                            <a:effectLst/>
                            <a:latin typeface="Cambria Math" panose="02040503050406030204" pitchFamily="18" charset="0"/>
                            <a:ea typeface="+mn-ea"/>
                            <a:cs typeface="+mn-cs"/>
                          </a:rPr>
                          <m:t>𝑰</m:t>
                        </m:r>
                      </m:e>
                      <m:sub>
                        <m:r>
                          <a:rPr lang="es-CO" sz="1100" b="1" i="1">
                            <a:solidFill>
                              <a:schemeClr val="tx1"/>
                            </a:solidFill>
                            <a:effectLst/>
                            <a:latin typeface="Cambria Math" panose="02040503050406030204" pitchFamily="18" charset="0"/>
                            <a:ea typeface="+mn-ea"/>
                            <a:cs typeface="+mn-cs"/>
                          </a:rPr>
                          <m:t>𝒆𝒄𝒄</m:t>
                        </m:r>
                      </m:sub>
                    </m:sSub>
                    <m:r>
                      <a:rPr lang="es-CO" sz="1100" b="1" i="1">
                        <a:solidFill>
                          <a:schemeClr val="tx1"/>
                        </a:solidFill>
                        <a:effectLst/>
                        <a:latin typeface="Cambria Math" panose="02040503050406030204" pitchFamily="18" charset="0"/>
                        <a:ea typeface="+mn-ea"/>
                        <a:cs typeface="+mn-cs"/>
                      </a:rPr>
                      <m:t>)</m:t>
                    </m:r>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𝑰</m:t>
                        </m:r>
                      </m:e>
                      <m:sup>
                        <m:r>
                          <a:rPr lang="es-CO" sz="1100" b="1" i="1">
                            <a:solidFill>
                              <a:schemeClr val="tx1"/>
                            </a:solidFill>
                            <a:effectLst/>
                            <a:latin typeface="Cambria Math" panose="02040503050406030204" pitchFamily="18" charset="0"/>
                            <a:ea typeface="+mn-ea"/>
                            <a:cs typeface="+mn-cs"/>
                          </a:rPr>
                          <m:t>𝟐</m:t>
                        </m:r>
                      </m:sup>
                    </m:sSup>
                  </m:oMath>
                </m:oMathPara>
              </a14:m>
              <a:endParaRPr lang="es-CO" sz="1100" b="1">
                <a:solidFill>
                  <a:srgbClr val="FF0000"/>
                </a:solidFill>
                <a:effectLst/>
                <a:latin typeface="+mn-lt"/>
                <a:ea typeface="+mn-ea"/>
                <a:cs typeface="+mn-cs"/>
              </a:endParaRPr>
            </a:p>
            <a:p>
              <a:pPr algn="ctr"/>
              <a:endParaRPr lang="es-CO" sz="1000" b="1">
                <a:solidFill>
                  <a:srgbClr val="FF0000"/>
                </a:solidFill>
              </a:endParaRPr>
            </a:p>
          </xdr:txBody>
        </xdr:sp>
      </mc:Choice>
      <mc:Fallback xmlns="">
        <xdr:sp macro="" textlink="">
          <xdr:nvSpPr>
            <xdr:cNvPr id="7" name="CuadroTexto 6">
              <a:extLst>
                <a:ext uri="{FF2B5EF4-FFF2-40B4-BE49-F238E27FC236}">
                  <a16:creationId xmlns:a16="http://schemas.microsoft.com/office/drawing/2014/main" xmlns:a14="http://schemas.microsoft.com/office/drawing/2010/main" xmlns="" id="{00000000-0008-0000-0100-000007000000}"/>
                </a:ext>
              </a:extLst>
            </xdr:cNvPr>
            <xdr:cNvSpPr txBox="1"/>
          </xdr:nvSpPr>
          <xdr:spPr>
            <a:xfrm>
              <a:off x="2610303" y="33003590"/>
              <a:ext cx="3071572" cy="371012"/>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lang="es-CO" sz="1100" b="1" i="0">
                  <a:solidFill>
                    <a:schemeClr val="tx1"/>
                  </a:solidFill>
                  <a:effectLst/>
                  <a:latin typeface="Cambria Math" panose="02040503050406030204" pitchFamily="18" charset="0"/>
                  <a:ea typeface="+mn-ea"/>
                  <a:cs typeface="+mn-cs"/>
                </a:rPr>
                <a:t>𝒖</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𝟐</a:t>
              </a:r>
              <a:r>
                <a:rPr lang="es-CO" sz="1100" b="1" i="0">
                  <a:solidFill>
                    <a:schemeClr val="tx1"/>
                  </a:solidFill>
                  <a:effectLst/>
                  <a:latin typeface="Cambria Math"/>
                  <a:ea typeface="+mn-ea"/>
                  <a:cs typeface="+mn-cs"/>
                </a:rPr>
                <a:t> (</a:t>
              </a:r>
              <a:r>
                <a:rPr lang="es-CO" sz="1100" b="1" i="0">
                  <a:solidFill>
                    <a:schemeClr val="tx1"/>
                  </a:solidFill>
                  <a:effectLst/>
                  <a:latin typeface="Cambria Math" panose="02040503050406030204" pitchFamily="18" charset="0"/>
                  <a:ea typeface="+mn-ea"/>
                  <a:cs typeface="+mn-cs"/>
                </a:rPr>
                <a:t>𝑰</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a:ea typeface="+mn-ea"/>
                  <a:cs typeface="+mn-cs"/>
                </a:rPr>
                <a:t> (</a:t>
              </a:r>
              <a:r>
                <a:rPr lang="es-CO" sz="1100" b="1" i="0">
                  <a:solidFill>
                    <a:schemeClr val="tx1"/>
                  </a:solidFill>
                  <a:effectLst/>
                  <a:latin typeface="Cambria Math" panose="02040503050406030204" pitchFamily="18" charset="0"/>
                  <a:ea typeface="+mn-ea"/>
                  <a:cs typeface="+mn-cs"/>
                </a:rPr>
                <a:t>𝒅</a:t>
              </a:r>
              <a:r>
                <a:rPr lang="es-CO" sz="1100" b="1" i="0">
                  <a:solidFill>
                    <a:schemeClr val="tx1"/>
                  </a:solidFill>
                  <a:effectLst/>
                  <a:latin typeface="Cambria Math"/>
                  <a:ea typeface="+mn-ea"/>
                  <a:cs typeface="+mn-cs"/>
                </a:rPr>
                <a:t>_</a:t>
              </a:r>
              <a:r>
                <a:rPr lang="es-CO" sz="1100" b="1" i="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𝟐</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𝟏𝟐+</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𝒅</a:t>
              </a:r>
              <a:r>
                <a:rPr lang="es-CO" sz="1100" b="1" i="0">
                  <a:solidFill>
                    <a:schemeClr val="tx1"/>
                  </a:solidFill>
                  <a:effectLst/>
                  <a:latin typeface="Cambria Math"/>
                  <a:ea typeface="+mn-ea"/>
                  <a:cs typeface="+mn-cs"/>
                </a:rPr>
                <a:t>_</a:t>
              </a:r>
              <a:r>
                <a:rPr lang="es-CO" sz="1100" b="1" i="0">
                  <a:solidFill>
                    <a:schemeClr val="tx1"/>
                  </a:solidFill>
                  <a:effectLst/>
                  <a:latin typeface="Cambria Math" panose="02040503050406030204" pitchFamily="18" charset="0"/>
                  <a:ea typeface="+mn-ea"/>
                  <a:cs typeface="+mn-cs"/>
                </a:rPr>
                <a:t>𝟏</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𝟐</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𝟏𝟐+𝒔</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𝟐</a:t>
              </a:r>
              <a:r>
                <a:rPr lang="es-CO" sz="1100" b="1" i="0">
                  <a:solidFill>
                    <a:schemeClr val="tx1"/>
                  </a:solidFill>
                  <a:effectLst/>
                  <a:latin typeface="Cambria Math"/>
                  <a:ea typeface="+mn-ea"/>
                  <a:cs typeface="+mn-cs"/>
                </a:rPr>
                <a:t> (</a:t>
              </a:r>
              <a:r>
                <a:rPr lang="es-CO" sz="1100" b="1" i="0">
                  <a:solidFill>
                    <a:schemeClr val="tx1"/>
                  </a:solidFill>
                  <a:effectLst/>
                  <a:latin typeface="Cambria Math" panose="02040503050406030204" pitchFamily="18" charset="0"/>
                  <a:ea typeface="+mn-ea"/>
                  <a:cs typeface="+mn-cs"/>
                </a:rPr>
                <a:t>𝑰</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+𝒖</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(𝜹𝑰</a:t>
              </a:r>
              <a:r>
                <a:rPr lang="es-CO" sz="1100" b="1" i="0">
                  <a:solidFill>
                    <a:schemeClr val="tx1"/>
                  </a:solidFill>
                  <a:effectLst/>
                  <a:latin typeface="Cambria Math"/>
                  <a:ea typeface="+mn-ea"/>
                  <a:cs typeface="+mn-cs"/>
                </a:rPr>
                <a:t>〗_</a:t>
              </a:r>
              <a:r>
                <a:rPr lang="es-CO" sz="1100" b="1" i="0">
                  <a:solidFill>
                    <a:schemeClr val="tx1"/>
                  </a:solidFill>
                  <a:effectLst/>
                  <a:latin typeface="Cambria Math" panose="02040503050406030204" pitchFamily="18" charset="0"/>
                  <a:ea typeface="+mn-ea"/>
                  <a:cs typeface="+mn-cs"/>
                </a:rPr>
                <a:t>𝒆𝒄𝒄)𝑰</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𝟐</a:t>
              </a:r>
              <a:endParaRPr lang="es-CO" sz="1100" b="1">
                <a:solidFill>
                  <a:srgbClr val="FF0000"/>
                </a:solidFill>
                <a:effectLst/>
                <a:latin typeface="+mn-lt"/>
                <a:ea typeface="+mn-ea"/>
                <a:cs typeface="+mn-cs"/>
              </a:endParaRPr>
            </a:p>
            <a:p>
              <a:pPr algn="ctr"/>
              <a:endParaRPr lang="es-CO" sz="1000" b="1">
                <a:solidFill>
                  <a:srgbClr val="FF0000"/>
                </a:solidFill>
              </a:endParaRPr>
            </a:p>
          </xdr:txBody>
        </xdr:sp>
      </mc:Fallback>
    </mc:AlternateContent>
    <xdr:clientData/>
  </xdr:oneCellAnchor>
  <xdr:oneCellAnchor>
    <xdr:from>
      <xdr:col>2</xdr:col>
      <xdr:colOff>839219</xdr:colOff>
      <xdr:row>76</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3070790" y="32582496"/>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xmlns:a14="http://schemas.microsoft.com/office/drawing/2010/main" xmlns="" id="{00000000-0008-0000-0100-000008000000}"/>
                </a:ext>
              </a:extLst>
            </xdr:cNvPr>
            <xdr:cNvSpPr txBox="1"/>
          </xdr:nvSpPr>
          <xdr:spPr>
            <a:xfrm>
              <a:off x="3070790" y="32582496"/>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a:t>
              </a:r>
              <a:r>
                <a:rPr lang="es-CO" sz="1100" b="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CO" sz="1100" b="0" i="0" baseline="-2500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3</xdr:col>
      <xdr:colOff>12617</xdr:colOff>
      <xdr:row>73</xdr:row>
      <xdr:rowOff>122464</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3359974" y="31350857"/>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a14="http://schemas.microsoft.com/office/drawing/2010/main" xmlns="" id="{00000000-0008-0000-0100-000009000000}"/>
                </a:ext>
              </a:extLst>
            </xdr:cNvPr>
            <xdr:cNvSpPr txBox="1"/>
          </xdr:nvSpPr>
          <xdr:spPr>
            <a:xfrm>
              <a:off x="3359974" y="31350857"/>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82</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02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a:t>
              </a:r>
              <a:r>
                <a:rPr lang="es-CO" sz="1100" b="0" i="0">
                  <a:solidFill>
                    <a:schemeClr val="tx1"/>
                  </a:solidFill>
                  <a:effectLst/>
                  <a:latin typeface="Cambria Math"/>
                  <a:ea typeface="+mn-ea"/>
                  <a:cs typeface="+mn-cs"/>
                </a:rPr>
                <a:t> 〖</a:t>
              </a:r>
              <a:r>
                <a:rPr lang="es-CO" sz="1100" b="0" i="0">
                  <a:solidFill>
                    <a:schemeClr val="tx1"/>
                  </a:solidFill>
                  <a:effectLst/>
                  <a:latin typeface="Cambria Math" panose="02040503050406030204" pitchFamily="18" charset="0"/>
                  <a:ea typeface="+mn-ea"/>
                  <a:cs typeface="+mn-cs"/>
                </a:rPr>
                <a:t>(𝑚</a:t>
              </a:r>
              <a:r>
                <a:rPr lang="es-CO" sz="1100" b="0" i="0">
                  <a:solidFill>
                    <a:schemeClr val="tx1"/>
                  </a:solidFill>
                  <a:effectLst/>
                  <a:latin typeface="Cambria Math"/>
                  <a:ea typeface="+mn-ea"/>
                  <a:cs typeface="+mn-cs"/>
                </a:rPr>
                <a:t>〗_</a:t>
              </a:r>
              <a:r>
                <a:rPr lang="es-CO" sz="1100" b="0" i="0">
                  <a:solidFill>
                    <a:schemeClr val="tx1"/>
                  </a:solidFill>
                  <a:effectLst/>
                  <a:latin typeface="Cambria Math" panose="02040503050406030204" pitchFamily="18" charset="0"/>
                  <a:ea typeface="+mn-ea"/>
                  <a:cs typeface="+mn-cs"/>
                </a:rPr>
                <a:t>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79</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02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102</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80</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02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𝐵  </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=𝐸𝑀𝑃</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769195</xdr:colOff>
      <xdr:row>84</xdr:row>
      <xdr:rowOff>117475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991695" y="36069058"/>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𝑟𝑒𝑓</m:t>
                            </m:r>
                          </m:sub>
                        </m:sSub>
                      </m:e>
                    </m:d>
                  </m:oMath>
                </m:oMathPara>
              </a14:m>
              <a:endParaRPr lang="es-CO"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chemeClr val="tx1"/>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0100-00000F000000}"/>
                </a:ext>
              </a:extLst>
            </xdr:cNvPr>
            <xdr:cNvSpPr txBox="1"/>
          </xdr:nvSpPr>
          <xdr:spPr>
            <a:xfrm>
              <a:off x="2991695" y="36069058"/>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2 (𝐸)=𝑢</a:t>
              </a:r>
              <a:r>
                <a:rPr lang="es-CO" sz="110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 (</a:t>
              </a:r>
              <a:r>
                <a:rPr lang="es-CO" sz="1100" i="0">
                  <a:solidFill>
                    <a:schemeClr val="tx1"/>
                  </a:solidFill>
                  <a:effectLst/>
                  <a:latin typeface="Cambria Math" panose="02040503050406030204" pitchFamily="18" charset="0"/>
                  <a:ea typeface="+mn-ea"/>
                  <a:cs typeface="+mn-cs"/>
                </a:rPr>
                <a:t>𝐼</a:t>
              </a:r>
              <a:r>
                <a:rPr lang="es-CO" sz="110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 𝑢</a:t>
              </a:r>
              <a:r>
                <a:rPr lang="es-CO" sz="110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 (</a:t>
              </a:r>
              <a:r>
                <a:rPr lang="es-CO" sz="1100" i="0">
                  <a:solidFill>
                    <a:schemeClr val="tx1"/>
                  </a:solidFill>
                  <a:effectLst/>
                  <a:latin typeface="Cambria Math" panose="02040503050406030204" pitchFamily="18" charset="0"/>
                  <a:ea typeface="+mn-ea"/>
                  <a:cs typeface="+mn-cs"/>
                </a:rPr>
                <a:t>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𝑟𝑒𝑓</a:t>
              </a:r>
              <a:r>
                <a:rPr lang="es-CO" sz="1100" i="0">
                  <a:solidFill>
                    <a:schemeClr val="tx1"/>
                  </a:solidFill>
                  <a:effectLst/>
                  <a:latin typeface="Cambria Math"/>
                  <a:ea typeface="+mn-ea"/>
                  <a:cs typeface="+mn-cs"/>
                </a:rPr>
                <a:t> )</a:t>
              </a:r>
              <a:endParaRPr lang="es-CO"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chemeClr val="tx1"/>
                </a:solidFill>
                <a:effectLst/>
                <a:latin typeface="+mn-lt"/>
                <a:ea typeface="+mn-ea"/>
                <a:cs typeface="+mn-cs"/>
              </a:endParaRPr>
            </a:p>
          </xdr:txBody>
        </xdr:sp>
      </mc:Fallback>
    </mc:AlternateContent>
    <xdr:clientData/>
  </xdr:oneCellAnchor>
  <xdr:oneCellAnchor>
    <xdr:from>
      <xdr:col>2</xdr:col>
      <xdr:colOff>804334</xdr:colOff>
      <xdr:row>99</xdr:row>
      <xdr:rowOff>31750</xdr:rowOff>
    </xdr:from>
    <xdr:ext cx="1309998" cy="548717"/>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96</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42334</xdr:colOff>
      <xdr:row>92</xdr:row>
      <xdr:rowOff>25399</xdr:rowOff>
    </xdr:from>
    <xdr:ext cx="4582584" cy="5778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1153584" y="39575316"/>
              <a:ext cx="4582584"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100" b="0" i="1">
                            <a:solidFill>
                              <a:schemeClr val="tx1"/>
                            </a:solidFill>
                            <a:effectLst/>
                            <a:latin typeface="Cambria Math" panose="02040503050406030204" pitchFamily="18" charset="0"/>
                            <a:ea typeface="+mn-ea"/>
                            <a:cs typeface="+mn-cs"/>
                          </a:rPr>
                          <m:t>+</m:t>
                        </m:r>
                        <m:f>
                          <m:fPr>
                            <m:ctrlPr>
                              <a:rPr lang="es-CO" sz="1100" b="1" i="1">
                                <a:solidFill>
                                  <a:schemeClr val="tx1"/>
                                </a:solidFill>
                                <a:effectLst/>
                                <a:latin typeface="Cambria Math" panose="02040503050406030204" pitchFamily="18" charset="0"/>
                                <a:ea typeface="+mn-ea"/>
                                <a:cs typeface="+mn-cs"/>
                              </a:rPr>
                            </m:ctrlPr>
                          </m:fPr>
                          <m:num>
                            <m:sSup>
                              <m:sSupPr>
                                <m:ctrlPr>
                                  <a:rPr lang="es-CO" sz="1100" b="1" i="1">
                                    <a:solidFill>
                                      <a:schemeClr val="tx1"/>
                                    </a:solidFill>
                                    <a:effectLst/>
                                    <a:latin typeface="Cambria Math" panose="02040503050406030204" pitchFamily="18" charset="0"/>
                                    <a:ea typeface="+mn-ea"/>
                                    <a:cs typeface="+mn-cs"/>
                                  </a:rPr>
                                </m:ctrlPr>
                              </m:sSupPr>
                              <m:e>
                                <m:sSub>
                                  <m:sSubPr>
                                    <m:ctrlPr>
                                      <a:rPr lang="es-CO" sz="1100" b="1" i="1">
                                        <a:solidFill>
                                          <a:schemeClr val="tx1"/>
                                        </a:solidFill>
                                        <a:effectLst/>
                                        <a:latin typeface="Cambria Math" panose="02040503050406030204" pitchFamily="18" charset="0"/>
                                        <a:ea typeface="+mn-ea"/>
                                        <a:cs typeface="+mn-cs"/>
                                      </a:rPr>
                                    </m:ctrlPr>
                                  </m:sSubPr>
                                  <m:e>
                                    <m:r>
                                      <a:rPr lang="es-ES" sz="1100" b="1" i="1">
                                        <a:solidFill>
                                          <a:schemeClr val="tx1"/>
                                        </a:solidFill>
                                        <a:effectLst/>
                                        <a:latin typeface="Cambria Math"/>
                                        <a:ea typeface="+mn-ea"/>
                                        <a:cs typeface="+mn-cs"/>
                                      </a:rPr>
                                      <m:t>𝒖</m:t>
                                    </m:r>
                                    <m:r>
                                      <a:rPr lang="es-ES" sz="1100" b="1">
                                        <a:solidFill>
                                          <a:schemeClr val="tx1"/>
                                        </a:solidFill>
                                        <a:effectLst/>
                                        <a:latin typeface="Cambria Math"/>
                                        <a:ea typeface="+mn-ea"/>
                                        <a:cs typeface="+mn-cs"/>
                                      </a:rPr>
                                      <m:t>(</m:t>
                                    </m:r>
                                    <m:r>
                                      <a:rPr lang="es-ES" sz="1100" b="1" i="1">
                                        <a:solidFill>
                                          <a:schemeClr val="tx1"/>
                                        </a:solidFill>
                                        <a:effectLst/>
                                        <a:latin typeface="Cambria Math"/>
                                        <a:ea typeface="+mn-ea"/>
                                        <a:cs typeface="+mn-cs"/>
                                      </a:rPr>
                                      <m:t>𝜹</m:t>
                                    </m:r>
                                  </m:e>
                                  <m:sub>
                                    <m:r>
                                      <a:rPr lang="es-MX" sz="1100" b="1" i="1">
                                        <a:solidFill>
                                          <a:schemeClr val="tx1"/>
                                        </a:solidFill>
                                        <a:effectLst/>
                                        <a:latin typeface="Cambria Math"/>
                                        <a:ea typeface="+mn-ea"/>
                                        <a:cs typeface="+mn-cs"/>
                                      </a:rPr>
                                      <m:t>𝒎</m:t>
                                    </m:r>
                                    <m:r>
                                      <a:rPr lang="es-CO" sz="1100" b="1" i="1">
                                        <a:solidFill>
                                          <a:schemeClr val="tx1"/>
                                        </a:solidFill>
                                        <a:effectLst/>
                                        <a:latin typeface="Cambria Math"/>
                                        <a:ea typeface="+mn-ea"/>
                                        <a:cs typeface="+mn-cs"/>
                                      </a:rPr>
                                      <m:t>𝒓</m:t>
                                    </m:r>
                                  </m:sub>
                                </m:sSub>
                                <m:r>
                                  <a:rPr lang="es-ES" sz="1100" b="1">
                                    <a:solidFill>
                                      <a:schemeClr val="tx1"/>
                                    </a:solidFill>
                                    <a:effectLst/>
                                    <a:latin typeface="Cambria Math"/>
                                    <a:ea typeface="+mn-ea"/>
                                    <a:cs typeface="+mn-cs"/>
                                  </a:rPr>
                                  <m:t>)</m:t>
                                </m:r>
                              </m:e>
                              <m:sup>
                                <m:r>
                                  <a:rPr lang="es-CO" sz="1100" b="1" i="1">
                                    <a:solidFill>
                                      <a:schemeClr val="tx1"/>
                                    </a:solidFill>
                                    <a:effectLst/>
                                    <a:latin typeface="Cambria Math" panose="02040503050406030204" pitchFamily="18" charset="0"/>
                                    <a:ea typeface="+mn-ea"/>
                                    <a:cs typeface="+mn-cs"/>
                                  </a:rPr>
                                  <m:t>𝟒</m:t>
                                </m:r>
                              </m:sup>
                            </m:sSup>
                          </m:num>
                          <m:den>
                            <m:r>
                              <a:rPr lang="es-CO" sz="1100" b="1" i="1">
                                <a:solidFill>
                                  <a:schemeClr val="tx1"/>
                                </a:solidFill>
                                <a:effectLst/>
                                <a:latin typeface="Cambria Math" panose="02040503050406030204" pitchFamily="18" charset="0"/>
                                <a:ea typeface="+mn-ea"/>
                                <a:cs typeface="+mn-cs"/>
                              </a:rPr>
                              <m:t>  </m:t>
                            </m:r>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a:ea typeface="+mn-ea"/>
                                    <a:cs typeface="+mn-cs"/>
                                  </a:rPr>
                                  <m:t>𝒗</m:t>
                                </m:r>
                              </m:e>
                              <m:sub>
                                <m:r>
                                  <a:rPr lang="es-CO" sz="1100" b="1" i="1">
                                    <a:solidFill>
                                      <a:schemeClr val="tx1"/>
                                    </a:solidFill>
                                    <a:effectLst/>
                                    <a:latin typeface="Cambria Math"/>
                                    <a:ea typeface="+mn-ea"/>
                                    <a:cs typeface="+mn-cs"/>
                                  </a:rPr>
                                  <m:t>𝒆𝒇𝒇</m:t>
                                </m:r>
                              </m:sub>
                            </m:sSub>
                            <m:sSub>
                              <m:sSubPr>
                                <m:ctrlPr>
                                  <a:rPr lang="es-CO" sz="1100" b="1" i="1">
                                    <a:solidFill>
                                      <a:schemeClr val="tx1"/>
                                    </a:solidFill>
                                    <a:effectLst/>
                                    <a:latin typeface="Cambria Math" panose="02040503050406030204" pitchFamily="18" charset="0"/>
                                    <a:ea typeface="+mn-ea"/>
                                    <a:cs typeface="+mn-cs"/>
                                  </a:rPr>
                                </m:ctrlPr>
                              </m:sSubPr>
                              <m:e>
                                <m:r>
                                  <a:rPr lang="es-ES" sz="1100" b="1">
                                    <a:solidFill>
                                      <a:schemeClr val="tx1"/>
                                    </a:solidFill>
                                    <a:effectLst/>
                                    <a:latin typeface="Cambria Math"/>
                                    <a:ea typeface="+mn-ea"/>
                                    <a:cs typeface="+mn-cs"/>
                                  </a:rPr>
                                  <m:t>(</m:t>
                                </m:r>
                                <m:r>
                                  <a:rPr lang="es-ES" sz="1100" b="1" i="1">
                                    <a:solidFill>
                                      <a:schemeClr val="tx1"/>
                                    </a:solidFill>
                                    <a:effectLst/>
                                    <a:latin typeface="Cambria Math"/>
                                    <a:ea typeface="+mn-ea"/>
                                    <a:cs typeface="+mn-cs"/>
                                  </a:rPr>
                                  <m:t>𝜹</m:t>
                                </m:r>
                              </m:e>
                              <m:sub>
                                <m:r>
                                  <a:rPr lang="es-MX" sz="1100" b="1" i="1">
                                    <a:solidFill>
                                      <a:schemeClr val="tx1"/>
                                    </a:solidFill>
                                    <a:effectLst/>
                                    <a:latin typeface="Cambria Math"/>
                                    <a:ea typeface="+mn-ea"/>
                                    <a:cs typeface="+mn-cs"/>
                                  </a:rPr>
                                  <m:t>𝒎</m:t>
                                </m:r>
                                <m:r>
                                  <a:rPr lang="es-CO" sz="1100" b="1" i="1">
                                    <a:solidFill>
                                      <a:schemeClr val="tx1"/>
                                    </a:solidFill>
                                    <a:effectLst/>
                                    <a:latin typeface="Cambria Math"/>
                                    <a:ea typeface="+mn-ea"/>
                                    <a:cs typeface="+mn-cs"/>
                                  </a:rPr>
                                  <m:t>𝒓</m:t>
                                </m:r>
                              </m:sub>
                            </m:sSub>
                            <m:r>
                              <a:rPr lang="es-CO" sz="1100" b="1" i="1">
                                <a:solidFill>
                                  <a:schemeClr val="tx1"/>
                                </a:solidFill>
                                <a:effectLst/>
                                <a:latin typeface="Cambria Math" panose="02040503050406030204" pitchFamily="18" charset="0"/>
                                <a:ea typeface="+mn-ea"/>
                                <a:cs typeface="+mn-cs"/>
                              </a:rPr>
                              <m:t>)</m:t>
                            </m:r>
                          </m:den>
                        </m:f>
                        <m:r>
                          <a:rPr lang="es-CO" sz="1050" b="1"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0100-000012000000}"/>
                </a:ext>
              </a:extLst>
            </xdr:cNvPr>
            <xdr:cNvSpPr txBox="1"/>
          </xdr:nvSpPr>
          <xdr:spPr>
            <a:xfrm>
              <a:off x="1153584" y="39575316"/>
              <a:ext cx="4582584"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a:t>
              </a:r>
              <a:r>
                <a:rPr lang="es-CO" sz="1050" i="0">
                  <a:solidFill>
                    <a:schemeClr val="tx1"/>
                  </a:solidFill>
                  <a:effectLst/>
                  <a:latin typeface="Cambria Math"/>
                  <a:ea typeface="+mn-ea"/>
                  <a:cs typeface="+mn-cs"/>
                </a:rPr>
                <a:t>_</a:t>
              </a:r>
              <a:r>
                <a:rPr lang="es-CO" sz="1050" i="0">
                  <a:solidFill>
                    <a:schemeClr val="tx1"/>
                  </a:solidFill>
                  <a:effectLst/>
                  <a:latin typeface="Cambria Math" panose="02040503050406030204" pitchFamily="18" charset="0"/>
                  <a:ea typeface="+mn-ea"/>
                  <a:cs typeface="+mn-cs"/>
                </a:rPr>
                <a:t>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𝑢</a:t>
              </a:r>
              <a:r>
                <a:rPr lang="es-CO" sz="1050" b="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4+ </a:t>
              </a:r>
              <a:r>
                <a:rPr lang="es-CO" sz="1050" b="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4</a:t>
              </a:r>
              <a:r>
                <a:rPr lang="es-CO" sz="1050" b="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𝑛 −1</a:t>
              </a:r>
              <a:r>
                <a:rPr lang="es-CO" sz="105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a:t>
              </a:r>
              <a:r>
                <a:rPr lang="es-CO" sz="1100" b="1" i="0">
                  <a:solidFill>
                    <a:schemeClr val="tx1"/>
                  </a:solidFill>
                  <a:effectLst/>
                  <a:latin typeface="Cambria Math"/>
                  <a:ea typeface="+mn-ea"/>
                  <a:cs typeface="+mn-cs"/>
                </a:rPr>
                <a:t>〖〖</a:t>
              </a:r>
              <a:r>
                <a:rPr lang="es-ES" sz="1100" b="1" i="0">
                  <a:solidFill>
                    <a:schemeClr val="tx1"/>
                  </a:solidFill>
                  <a:effectLst/>
                  <a:latin typeface="Cambria Math"/>
                  <a:ea typeface="+mn-ea"/>
                  <a:cs typeface="+mn-cs"/>
                </a:rPr>
                <a:t>𝒖(𝜹</a:t>
              </a:r>
              <a:r>
                <a:rPr lang="es-CO" sz="1100" b="1" i="0">
                  <a:solidFill>
                    <a:schemeClr val="tx1"/>
                  </a:solidFill>
                  <a:effectLst/>
                  <a:latin typeface="Cambria Math"/>
                  <a:ea typeface="+mn-ea"/>
                  <a:cs typeface="+mn-cs"/>
                </a:rPr>
                <a:t>〗_</a:t>
              </a:r>
              <a:r>
                <a:rPr lang="es-MX" sz="1100" b="1" i="0">
                  <a:solidFill>
                    <a:schemeClr val="tx1"/>
                  </a:solidFill>
                  <a:effectLst/>
                  <a:latin typeface="Cambria Math"/>
                  <a:ea typeface="+mn-ea"/>
                  <a:cs typeface="+mn-cs"/>
                </a:rPr>
                <a:t>𝒎</a:t>
              </a:r>
              <a:r>
                <a:rPr lang="es-CO" sz="1100" b="1" i="0">
                  <a:solidFill>
                    <a:schemeClr val="tx1"/>
                  </a:solidFill>
                  <a:effectLst/>
                  <a:latin typeface="Cambria Math"/>
                  <a:ea typeface="+mn-ea"/>
                  <a:cs typeface="+mn-cs"/>
                </a:rPr>
                <a:t>𝒓</a:t>
              </a:r>
              <a:r>
                <a:rPr lang="es-ES" sz="1100" b="1" i="0">
                  <a:solidFill>
                    <a:schemeClr val="tx1"/>
                  </a:solidFill>
                  <a:effectLst/>
                  <a:latin typeface="Cambria Math"/>
                  <a:ea typeface="+mn-ea"/>
                  <a:cs typeface="+mn-cs"/>
                </a:rPr>
                <a:t>)</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𝟒</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a:ea typeface="+mn-ea"/>
                  <a:cs typeface="+mn-cs"/>
                </a:rPr>
                <a:t>𝒗_𝒆𝒇𝒇 〖</a:t>
              </a:r>
              <a:r>
                <a:rPr lang="es-ES" sz="1100" b="1" i="0">
                  <a:solidFill>
                    <a:schemeClr val="tx1"/>
                  </a:solidFill>
                  <a:effectLst/>
                  <a:latin typeface="Cambria Math"/>
                  <a:ea typeface="+mn-ea"/>
                  <a:cs typeface="+mn-cs"/>
                </a:rPr>
                <a:t>(𝜹</a:t>
              </a:r>
              <a:r>
                <a:rPr lang="es-CO" sz="1100" b="1" i="0">
                  <a:solidFill>
                    <a:schemeClr val="tx1"/>
                  </a:solidFill>
                  <a:effectLst/>
                  <a:latin typeface="Cambria Math"/>
                  <a:ea typeface="+mn-ea"/>
                  <a:cs typeface="+mn-cs"/>
                </a:rPr>
                <a:t>〗_</a:t>
              </a:r>
              <a:r>
                <a:rPr lang="es-MX" sz="1100" b="1" i="0">
                  <a:solidFill>
                    <a:schemeClr val="tx1"/>
                  </a:solidFill>
                  <a:effectLst/>
                  <a:latin typeface="Cambria Math"/>
                  <a:ea typeface="+mn-ea"/>
                  <a:cs typeface="+mn-cs"/>
                </a:rPr>
                <a:t>𝒎</a:t>
              </a:r>
              <a:r>
                <a:rPr lang="es-CO" sz="1100" b="1" i="0">
                  <a:solidFill>
                    <a:schemeClr val="tx1"/>
                  </a:solidFill>
                  <a:effectLst/>
                  <a:latin typeface="Cambria Math"/>
                  <a:ea typeface="+mn-ea"/>
                  <a:cs typeface="+mn-cs"/>
                </a:rPr>
                <a:t>𝒓</a:t>
              </a:r>
              <a:r>
                <a:rPr lang="es-CO" sz="1100" b="1" i="0">
                  <a:solidFill>
                    <a:schemeClr val="tx1"/>
                  </a:solidFill>
                  <a:effectLst/>
                  <a:latin typeface="Cambria Math" panose="02040503050406030204" pitchFamily="18" charset="0"/>
                  <a:ea typeface="+mn-ea"/>
                  <a:cs typeface="+mn-cs"/>
                </a:rPr>
                <a:t>)</a:t>
              </a:r>
              <a:r>
                <a:rPr lang="es-CO" sz="1100" b="1" i="0">
                  <a:solidFill>
                    <a:schemeClr val="tx1"/>
                  </a:solidFill>
                  <a:effectLst/>
                  <a:latin typeface="Cambria Math"/>
                  <a:ea typeface="+mn-ea"/>
                  <a:cs typeface="+mn-cs"/>
                </a:rPr>
                <a:t>)</a:t>
              </a:r>
              <a:r>
                <a:rPr lang="es-CO" sz="1050" b="1" i="0">
                  <a:solidFill>
                    <a:schemeClr val="tx1"/>
                  </a:solidFill>
                  <a:effectLst/>
                  <a:latin typeface="Cambria Math" panose="02040503050406030204" pitchFamily="18" charset="0"/>
                  <a:ea typeface="+mn-ea"/>
                  <a:cs typeface="+mn-cs"/>
                </a:rPr>
                <a:t>+ </a:t>
              </a:r>
              <a:r>
                <a:rPr lang="es-CO" sz="1050" b="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4</a:t>
              </a:r>
              <a:r>
                <a:rPr lang="es-CO" sz="1050" b="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108</xdr:row>
      <xdr:rowOff>352425</xdr:rowOff>
    </xdr:from>
    <xdr:ext cx="875242" cy="5154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eqArr>
                          <m:eqArrPr>
                            <m:ctrlPr>
                              <a:rPr lang="es-CO" sz="1050" i="1">
                                <a:solidFill>
                                  <a:schemeClr val="tx1"/>
                                </a:solidFill>
                                <a:effectLst/>
                                <a:latin typeface="Cambria Math" panose="02040503050406030204" pitchFamily="18" charset="0"/>
                                <a:ea typeface="+mn-ea"/>
                                <a:cs typeface="+mn-cs"/>
                              </a:rPr>
                            </m:ctrlPr>
                          </m:eqArr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108</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109</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117</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02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119</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122</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panose="02040503050406030204" pitchFamily="18" charset="0"/>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 xmlns:a16="http://schemas.microsoft.com/office/drawing/2014/main" xmlns:a14="http://schemas.microsoft.com/office/drawing/2010/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136</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923948</xdr:colOff>
      <xdr:row>91</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4257698" y="3923282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a:extLst>
                <a:ext uri="{FF2B5EF4-FFF2-40B4-BE49-F238E27FC236}">
                  <a16:creationId xmlns:a16="http://schemas.microsoft.com/office/drawing/2014/main" xmlns:a14="http://schemas.microsoft.com/office/drawing/2010/main" xmlns="" id="{00000000-0008-0000-0100-000026000000}"/>
                </a:ext>
              </a:extLst>
            </xdr:cNvPr>
            <xdr:cNvSpPr txBox="1"/>
          </xdr:nvSpPr>
          <xdr:spPr>
            <a:xfrm>
              <a:off x="4257698" y="3923282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94</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95</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96</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661457</xdr:colOff>
      <xdr:row>89</xdr:row>
      <xdr:rowOff>158749</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3995207" y="38343416"/>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a:extLst>
                <a:ext uri="{FF2B5EF4-FFF2-40B4-BE49-F238E27FC236}">
                  <a16:creationId xmlns:a16="http://schemas.microsoft.com/office/drawing/2014/main" xmlns:a14="http://schemas.microsoft.com/office/drawing/2010/main" xmlns="" id="{00000000-0008-0000-0100-00002A000000}"/>
                </a:ext>
              </a:extLst>
            </xdr:cNvPr>
            <xdr:cNvSpPr txBox="1"/>
          </xdr:nvSpPr>
          <xdr:spPr>
            <a:xfrm>
              <a:off x="3995207" y="38343416"/>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0" i="0">
                  <a:solidFill>
                    <a:schemeClr val="tx1"/>
                  </a:solidFill>
                  <a:effectLst/>
                  <a:latin typeface="Cambria Math"/>
                  <a:ea typeface="+mn-ea"/>
                  <a:cs typeface="+mn-cs"/>
                </a:rPr>
                <a:t> (</a:t>
              </a:r>
              <a:r>
                <a:rPr lang="es-CO" sz="1100" b="0" i="0">
                  <a:solidFill>
                    <a:schemeClr val="tx1"/>
                  </a:solidFill>
                  <a:effectLst/>
                  <a:latin typeface="Cambria Math" panose="02040503050406030204" pitchFamily="18" charset="0"/>
                  <a:ea typeface="+mn-ea"/>
                  <a:cs typeface="+mn-cs"/>
                </a:rPr>
                <a:t>𝑟𝑒𝑝</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=𝑛 −1   </a:t>
              </a:r>
              <a:endParaRPr lang="es-CO" sz="1100"/>
            </a:p>
          </xdr:txBody>
        </xdr:sp>
      </mc:Fallback>
    </mc:AlternateContent>
    <xdr:clientData/>
  </xdr:oneCellAnchor>
  <xdr:twoCellAnchor>
    <xdr:from>
      <xdr:col>0</xdr:col>
      <xdr:colOff>1107282</xdr:colOff>
      <xdr:row>127</xdr:row>
      <xdr:rowOff>114861</xdr:rowOff>
    </xdr:from>
    <xdr:to>
      <xdr:col>10</xdr:col>
      <xdr:colOff>214312</xdr:colOff>
      <xdr:row>135</xdr:row>
      <xdr:rowOff>440531</xdr:rowOff>
    </xdr:to>
    <xdr:graphicFrame macro="">
      <xdr:nvGraphicFramePr>
        <xdr:cNvPr id="43" name="Gráfico 42">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871425</xdr:colOff>
      <xdr:row>32</xdr:row>
      <xdr:rowOff>404120</xdr:rowOff>
    </xdr:from>
    <xdr:to>
      <xdr:col>10</xdr:col>
      <xdr:colOff>583406</xdr:colOff>
      <xdr:row>37</xdr:row>
      <xdr:rowOff>355032</xdr:rowOff>
    </xdr:to>
    <xdr:pic>
      <xdr:nvPicPr>
        <xdr:cNvPr id="44" name="Imagen 43">
          <a:extLst>
            <a:ext uri="{FF2B5EF4-FFF2-40B4-BE49-F238E27FC236}">
              <a16:creationId xmlns:a16="http://schemas.microsoft.com/office/drawing/2014/main" id="{00000000-0008-0000-0100-00002C000000}"/>
            </a:ext>
          </a:extLst>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r="32709"/>
        <a:stretch/>
      </xdr:blipFill>
      <xdr:spPr bwMode="auto">
        <a:xfrm>
          <a:off x="9301050" y="14405870"/>
          <a:ext cx="3212419"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468690" cy="213177"/>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3796393" y="22625656"/>
              <a:ext cx="468690" cy="213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a:extLst>
                <a:ext uri="{FF2B5EF4-FFF2-40B4-BE49-F238E27FC236}">
                  <a16:creationId xmlns:a16="http://schemas.microsoft.com/office/drawing/2014/main" xmlns:a14="http://schemas.microsoft.com/office/drawing/2010/main" xmlns="" id="{00000000-0008-0000-0100-000035000000}"/>
                </a:ext>
              </a:extLst>
            </xdr:cNvPr>
            <xdr:cNvSpPr txBox="1"/>
          </xdr:nvSpPr>
          <xdr:spPr>
            <a:xfrm>
              <a:off x="3796393" y="22625656"/>
              <a:ext cx="468690" cy="213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462641</xdr:colOff>
      <xdr:row>53</xdr:row>
      <xdr:rowOff>122464</xdr:rowOff>
    </xdr:from>
    <xdr:ext cx="479275" cy="237370"/>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4907641" y="22612047"/>
              <a:ext cx="479275" cy="23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a:extLst>
                <a:ext uri="{FF2B5EF4-FFF2-40B4-BE49-F238E27FC236}">
                  <a16:creationId xmlns:a16="http://schemas.microsoft.com/office/drawing/2014/main" xmlns:a14="http://schemas.microsoft.com/office/drawing/2010/main" xmlns="" id="{00000000-0008-0000-0100-00003A000000}"/>
                </a:ext>
              </a:extLst>
            </xdr:cNvPr>
            <xdr:cNvSpPr txBox="1"/>
          </xdr:nvSpPr>
          <xdr:spPr>
            <a:xfrm>
              <a:off x="4907641" y="22612047"/>
              <a:ext cx="479275" cy="23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oneCellAnchor>
    <xdr:from>
      <xdr:col>15</xdr:col>
      <xdr:colOff>628650</xdr:colOff>
      <xdr:row>86</xdr:row>
      <xdr:rowOff>0</xdr:rowOff>
    </xdr:from>
    <xdr:ext cx="65" cy="172227"/>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830147</xdr:colOff>
      <xdr:row>75</xdr:row>
      <xdr:rowOff>53865</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3061718" y="32153115"/>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xmlns:a14="http://schemas.microsoft.com/office/drawing/2010/main" xmlns="" id="{00000000-0008-0000-0100-000038000000}"/>
                </a:ext>
              </a:extLst>
            </xdr:cNvPr>
            <xdr:cNvSpPr txBox="1"/>
          </xdr:nvSpPr>
          <xdr:spPr>
            <a:xfrm>
              <a:off x="3061718" y="32153115"/>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ES" sz="110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91</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xmlns="" xmlns:a14="http://schemas.microsoft.com/office/drawing/2010/main" id="{00000000-0008-0000-0200-000013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119</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124</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81</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panose="02040503050406030204" pitchFamily="18" charset="0"/>
                          </a:rPr>
                        </m:ctrlPr>
                      </m:dPr>
                      <m:e>
                        <m:sSub>
                          <m:sSubPr>
                            <m:ctrlPr>
                              <a:rPr lang="es-MX" sz="1100" b="0" i="1">
                                <a:latin typeface="Cambria Math" panose="02040503050406030204" pitchFamily="18" charset="0"/>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panose="02040503050406030204" pitchFamily="18" charset="0"/>
                          </a:rPr>
                        </m:ctrlPr>
                      </m:fPr>
                      <m:num>
                        <m:r>
                          <a:rPr lang="es-MX" sz="1100" b="0" i="1">
                            <a:latin typeface="Cambria Math" panose="02040503050406030204" pitchFamily="18" charset="0"/>
                          </a:rPr>
                          <m:t>𝐷</m:t>
                        </m:r>
                      </m:num>
                      <m:den>
                        <m:rad>
                          <m:radPr>
                            <m:degHide m:val="on"/>
                            <m:ctrlPr>
                              <a:rPr lang="es-MX" sz="1100" b="0" i="1">
                                <a:latin typeface="Cambria Math" panose="02040503050406030204" pitchFamily="18" charset="0"/>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a:rPr>
                <a:t>(〖</a:t>
              </a:r>
              <a:r>
                <a:rPr lang="es-MX" sz="1100" b="0" i="0">
                  <a:latin typeface="Cambria Math" panose="02040503050406030204" pitchFamily="18" charset="0"/>
                  <a:ea typeface="Cambria Math" panose="02040503050406030204" pitchFamily="18" charset="0"/>
                </a:rPr>
                <a:t>𝛿𝑚</a:t>
              </a:r>
              <a:r>
                <a:rPr lang="es-MX" sz="1100" b="0" i="0">
                  <a:latin typeface="Cambria Math"/>
                  <a:ea typeface="Cambria Math" panose="02040503050406030204" pitchFamily="18" charset="0"/>
                </a:rPr>
                <a:t>〗_</a:t>
              </a:r>
              <a:r>
                <a:rPr lang="es-MX" sz="1100" b="0" i="0">
                  <a:latin typeface="Cambria Math" panose="02040503050406030204" pitchFamily="18" charset="0"/>
                </a:rPr>
                <a:t>𝐷</a:t>
              </a:r>
              <a:r>
                <a:rPr lang="es-MX" sz="1100" b="0" i="0">
                  <a:latin typeface="Cambria Math"/>
                </a:rPr>
                <a:t> )</a:t>
              </a:r>
              <a:r>
                <a:rPr lang="es-MX" sz="1100" b="0" i="0">
                  <a:latin typeface="Cambria Math" panose="02040503050406030204" pitchFamily="18" charset="0"/>
                </a:rPr>
                <a:t>=𝐷</a:t>
              </a:r>
              <a:r>
                <a:rPr lang="es-MX" sz="1100" b="0" i="0">
                  <a:latin typeface="Cambria Math"/>
                </a:rPr>
                <a:t>⁄√</a:t>
              </a:r>
              <a:r>
                <a:rPr lang="es-MX" sz="1100" b="0" i="0">
                  <a:latin typeface="Cambria Math" panose="02040503050406030204" pitchFamily="18" charset="0"/>
                </a:rPr>
                <a:t>3</a:t>
              </a:r>
              <a:endParaRPr lang="es-CO" sz="1100" b="0"/>
            </a:p>
          </xdr:txBody>
        </xdr:sp>
      </mc:Fallback>
    </mc:AlternateContent>
    <xdr:clientData/>
  </xdr:oneCellAnchor>
  <xdr:twoCellAnchor>
    <xdr:from>
      <xdr:col>13</xdr:col>
      <xdr:colOff>160338</xdr:colOff>
      <xdr:row>71</xdr:row>
      <xdr:rowOff>35718</xdr:rowOff>
    </xdr:from>
    <xdr:to>
      <xdr:col>16</xdr:col>
      <xdr:colOff>881944</xdr:colOff>
      <xdr:row>82</xdr:row>
      <xdr:rowOff>411162</xdr:rowOff>
    </xdr:to>
    <xdr:graphicFrame macro="">
      <xdr:nvGraphicFramePr>
        <xdr:cNvPr id="19" name="Gráfico 18">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xdr:col>
      <xdr:colOff>795992</xdr:colOff>
      <xdr:row>74</xdr:row>
      <xdr:rowOff>81135</xdr:rowOff>
    </xdr:from>
    <xdr:ext cx="2090505" cy="214044"/>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id="{00000000-0008-0000-0100-000036000000}"/>
                </a:ext>
              </a:extLst>
            </xdr:cNvPr>
            <xdr:cNvSpPr txBox="1"/>
          </xdr:nvSpPr>
          <xdr:spPr>
            <a:xfrm>
              <a:off x="3027563" y="31744956"/>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b>
                      <m:sSubPr>
                        <m:ctrlPr>
                          <a:rPr lang="es-CO" sz="1400" b="1" i="1">
                            <a:solidFill>
                              <a:schemeClr val="tx1"/>
                            </a:solidFill>
                            <a:effectLst/>
                            <a:latin typeface="Cambria Math" panose="02040503050406030204" pitchFamily="18" charset="0"/>
                            <a:ea typeface="+mn-ea"/>
                            <a:cs typeface="+mn-cs"/>
                          </a:rPr>
                        </m:ctrlPr>
                      </m:sSubPr>
                      <m:e>
                        <m:r>
                          <a:rPr lang="es-ES" sz="1400" b="1" i="1">
                            <a:solidFill>
                              <a:schemeClr val="tx1"/>
                            </a:solidFill>
                            <a:effectLst/>
                            <a:latin typeface="Cambria Math" panose="02040503050406030204" pitchFamily="18" charset="0"/>
                            <a:ea typeface="+mn-ea"/>
                            <a:cs typeface="+mn-cs"/>
                          </a:rPr>
                          <m:t>𝒖</m:t>
                        </m:r>
                        <m:r>
                          <a:rPr lang="es-ES" sz="1400" b="1">
                            <a:solidFill>
                              <a:schemeClr val="tx1"/>
                            </a:solidFill>
                            <a:effectLst/>
                            <a:latin typeface="Cambria Math" panose="02040503050406030204" pitchFamily="18" charset="0"/>
                            <a:ea typeface="+mn-ea"/>
                            <a:cs typeface="+mn-cs"/>
                          </a:rPr>
                          <m:t>(</m:t>
                        </m:r>
                        <m:r>
                          <a:rPr lang="es-ES" sz="1400" b="1" i="1">
                            <a:solidFill>
                              <a:schemeClr val="tx1"/>
                            </a:solidFill>
                            <a:effectLst/>
                            <a:latin typeface="Cambria Math" panose="02040503050406030204" pitchFamily="18" charset="0"/>
                            <a:ea typeface="+mn-ea"/>
                            <a:cs typeface="+mn-cs"/>
                          </a:rPr>
                          <m:t>𝜹</m:t>
                        </m:r>
                      </m:e>
                      <m:sub>
                        <m:r>
                          <a:rPr lang="es-MX" sz="1400" b="1" i="1">
                            <a:solidFill>
                              <a:schemeClr val="tx1"/>
                            </a:solidFill>
                            <a:effectLst/>
                            <a:latin typeface="Cambria Math" panose="02040503050406030204" pitchFamily="18" charset="0"/>
                            <a:ea typeface="+mn-ea"/>
                            <a:cs typeface="+mn-cs"/>
                          </a:rPr>
                          <m:t>𝒎</m:t>
                        </m:r>
                        <m:r>
                          <a:rPr lang="es-CO" sz="1400" b="1" i="1">
                            <a:solidFill>
                              <a:schemeClr val="tx1"/>
                            </a:solidFill>
                            <a:effectLst/>
                            <a:latin typeface="Cambria Math" panose="02040503050406030204" pitchFamily="18" charset="0"/>
                            <a:ea typeface="+mn-ea"/>
                            <a:cs typeface="+mn-cs"/>
                          </a:rPr>
                          <m:t>𝒓</m:t>
                        </m:r>
                      </m:sub>
                    </m:sSub>
                    <m:r>
                      <a:rPr lang="es-ES" sz="1400" b="1">
                        <a:solidFill>
                          <a:schemeClr val="tx1"/>
                        </a:solidFill>
                        <a:effectLst/>
                        <a:latin typeface="Cambria Math" panose="02040503050406030204" pitchFamily="18" charset="0"/>
                        <a:ea typeface="+mn-ea"/>
                        <a:cs typeface="+mn-cs"/>
                      </a:rPr>
                      <m:t>)=(</m:t>
                    </m:r>
                    <m:r>
                      <a:rPr lang="es-ES" sz="1100" b="1" i="1">
                        <a:solidFill>
                          <a:schemeClr val="tx1"/>
                        </a:solidFill>
                        <a:effectLst/>
                        <a:latin typeface="Cambria Math" panose="02040503050406030204" pitchFamily="18" charset="0"/>
                        <a:ea typeface="+mn-ea"/>
                        <a:cs typeface="+mn-cs"/>
                      </a:rPr>
                      <m:t>𝜹</m:t>
                    </m:r>
                    <m:r>
                      <a:rPr lang="es-ES" sz="1100" b="1" i="1">
                        <a:solidFill>
                          <a:schemeClr val="tx1"/>
                        </a:solidFill>
                        <a:effectLst/>
                        <a:latin typeface="Cambria Math" panose="02040503050406030204" pitchFamily="18" charset="0"/>
                        <a:ea typeface="+mn-ea"/>
                        <a:cs typeface="+mn-cs"/>
                      </a:rPr>
                      <m:t>𝑰</m:t>
                    </m:r>
                    <m:r>
                      <a:rPr lang="es-ES" sz="1400" b="1">
                        <a:solidFill>
                          <a:schemeClr val="tx1"/>
                        </a:solidFill>
                        <a:effectLst/>
                        <a:latin typeface="Cambria Math" panose="02040503050406030204" pitchFamily="18" charset="0"/>
                        <a:ea typeface="+mn-ea"/>
                        <a:cs typeface="+mn-cs"/>
                      </a:rPr>
                      <m:t>)⁄</m:t>
                    </m:r>
                    <m:rad>
                      <m:radPr>
                        <m:degHide m:val="on"/>
                        <m:ctrlPr>
                          <a:rPr lang="es-CO" sz="1400" b="1" i="1">
                            <a:solidFill>
                              <a:schemeClr val="tx1"/>
                            </a:solidFill>
                            <a:effectLst/>
                            <a:latin typeface="Cambria Math" panose="02040503050406030204" pitchFamily="18" charset="0"/>
                            <a:ea typeface="+mn-ea"/>
                            <a:cs typeface="+mn-cs"/>
                          </a:rPr>
                        </m:ctrlPr>
                      </m:radPr>
                      <m:deg/>
                      <m:e>
                        <m:r>
                          <a:rPr lang="es-CO" sz="1400" b="1" i="1">
                            <a:solidFill>
                              <a:schemeClr val="tx1"/>
                            </a:solidFill>
                            <a:effectLst/>
                            <a:latin typeface="Cambria Math" panose="02040503050406030204" pitchFamily="18" charset="0"/>
                            <a:ea typeface="+mn-ea"/>
                            <a:cs typeface="+mn-cs"/>
                          </a:rPr>
                          <m:t>𝑮</m:t>
                        </m:r>
                      </m:e>
                    </m:rad>
                  </m:oMath>
                </m:oMathPara>
              </a14:m>
              <a:endParaRPr lang="es-CO" sz="1050" b="1">
                <a:solidFill>
                  <a:schemeClr val="tx1"/>
                </a:solidFill>
                <a:effectLst/>
                <a:latin typeface="+mn-lt"/>
                <a:ea typeface="+mn-ea"/>
                <a:cs typeface="+mn-cs"/>
              </a:endParaRPr>
            </a:p>
          </xdr:txBody>
        </xdr:sp>
      </mc:Choice>
      <mc:Fallback xmlns="">
        <xdr:sp macro="" textlink="">
          <xdr:nvSpPr>
            <xdr:cNvPr id="54" name="CuadroTexto 53">
              <a:extLst>
                <a:ext uri="{FF2B5EF4-FFF2-40B4-BE49-F238E27FC236}">
                  <a16:creationId xmlns:a16="http://schemas.microsoft.com/office/drawing/2014/main" xmlns="" xmlns:a14="http://schemas.microsoft.com/office/drawing/2010/main" id="{CD0FA45A-2A4E-48E3-8F4D-A005EF22B4B7}"/>
                </a:ext>
              </a:extLst>
            </xdr:cNvPr>
            <xdr:cNvSpPr txBox="1"/>
          </xdr:nvSpPr>
          <xdr:spPr>
            <a:xfrm>
              <a:off x="3027563" y="31744956"/>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400" b="1" i="0">
                  <a:solidFill>
                    <a:schemeClr val="tx1"/>
                  </a:solidFill>
                  <a:effectLst/>
                  <a:latin typeface="Cambria Math"/>
                  <a:ea typeface="+mn-ea"/>
                  <a:cs typeface="+mn-cs"/>
                </a:rPr>
                <a:t>〖</a:t>
              </a:r>
              <a:r>
                <a:rPr lang="es-ES" sz="1400" b="1" i="0">
                  <a:solidFill>
                    <a:schemeClr val="tx1"/>
                  </a:solidFill>
                  <a:effectLst/>
                  <a:latin typeface="Cambria Math" panose="02040503050406030204" pitchFamily="18" charset="0"/>
                  <a:ea typeface="+mn-ea"/>
                  <a:cs typeface="+mn-cs"/>
                </a:rPr>
                <a:t>𝒖(𝜹</a:t>
              </a:r>
              <a:r>
                <a:rPr lang="es-CO" sz="1400" b="1" i="0">
                  <a:solidFill>
                    <a:schemeClr val="tx1"/>
                  </a:solidFill>
                  <a:effectLst/>
                  <a:latin typeface="Cambria Math"/>
                  <a:ea typeface="+mn-ea"/>
                  <a:cs typeface="+mn-cs"/>
                </a:rPr>
                <a:t>〗_</a:t>
              </a:r>
              <a:r>
                <a:rPr lang="es-MX" sz="1400" b="1" i="0">
                  <a:solidFill>
                    <a:schemeClr val="tx1"/>
                  </a:solidFill>
                  <a:effectLst/>
                  <a:latin typeface="Cambria Math" panose="02040503050406030204" pitchFamily="18" charset="0"/>
                  <a:ea typeface="+mn-ea"/>
                  <a:cs typeface="+mn-cs"/>
                </a:rPr>
                <a:t>𝒎</a:t>
              </a:r>
              <a:r>
                <a:rPr lang="es-CO" sz="1400" b="1" i="0">
                  <a:solidFill>
                    <a:schemeClr val="tx1"/>
                  </a:solidFill>
                  <a:effectLst/>
                  <a:latin typeface="Cambria Math" panose="02040503050406030204" pitchFamily="18" charset="0"/>
                  <a:ea typeface="+mn-ea"/>
                  <a:cs typeface="+mn-cs"/>
                </a:rPr>
                <a:t>𝒓</a:t>
              </a:r>
              <a:r>
                <a:rPr lang="es-ES" sz="1400" b="1" i="0">
                  <a:solidFill>
                    <a:schemeClr val="tx1"/>
                  </a:solidFill>
                  <a:effectLst/>
                  <a:latin typeface="Cambria Math" panose="02040503050406030204" pitchFamily="18" charset="0"/>
                  <a:ea typeface="+mn-ea"/>
                  <a:cs typeface="+mn-cs"/>
                </a:rPr>
                <a:t>)=(</a:t>
              </a:r>
              <a:r>
                <a:rPr lang="es-ES" sz="1100" b="1" i="0">
                  <a:solidFill>
                    <a:schemeClr val="tx1"/>
                  </a:solidFill>
                  <a:effectLst/>
                  <a:latin typeface="Cambria Math" panose="02040503050406030204" pitchFamily="18" charset="0"/>
                  <a:ea typeface="+mn-ea"/>
                  <a:cs typeface="+mn-cs"/>
                </a:rPr>
                <a:t>𝜹𝑰</a:t>
              </a:r>
              <a:r>
                <a:rPr lang="es-ES" sz="1400" b="1" i="0">
                  <a:solidFill>
                    <a:schemeClr val="tx1"/>
                  </a:solidFill>
                  <a:effectLst/>
                  <a:latin typeface="Cambria Math" panose="02040503050406030204" pitchFamily="18" charset="0"/>
                  <a:ea typeface="+mn-ea"/>
                  <a:cs typeface="+mn-cs"/>
                </a:rPr>
                <a:t>)⁄</a:t>
              </a:r>
              <a:r>
                <a:rPr lang="es-CO" sz="1400" b="1" i="0">
                  <a:solidFill>
                    <a:schemeClr val="tx1"/>
                  </a:solidFill>
                  <a:effectLst/>
                  <a:latin typeface="Cambria Math"/>
                  <a:ea typeface="+mn-ea"/>
                  <a:cs typeface="+mn-cs"/>
                </a:rPr>
                <a:t>√</a:t>
              </a:r>
              <a:r>
                <a:rPr lang="es-CO" sz="1400" b="1" i="0">
                  <a:solidFill>
                    <a:schemeClr val="tx1"/>
                  </a:solidFill>
                  <a:effectLst/>
                  <a:latin typeface="Cambria Math" panose="02040503050406030204" pitchFamily="18" charset="0"/>
                  <a:ea typeface="+mn-ea"/>
                  <a:cs typeface="+mn-cs"/>
                </a:rPr>
                <a:t>𝑮</a:t>
              </a:r>
              <a:endParaRPr lang="es-CO" sz="1050" b="1">
                <a:solidFill>
                  <a:schemeClr val="tx1"/>
                </a:solidFill>
                <a:effectLst/>
                <a:latin typeface="+mn-lt"/>
                <a:ea typeface="+mn-ea"/>
                <a:cs typeface="+mn-cs"/>
              </a:endParaRPr>
            </a:p>
          </xdr:txBody>
        </xdr:sp>
      </mc:Fallback>
    </mc:AlternateContent>
    <xdr:clientData/>
  </xdr:oneCellAnchor>
  <xdr:oneCellAnchor>
    <xdr:from>
      <xdr:col>3</xdr:col>
      <xdr:colOff>275167</xdr:colOff>
      <xdr:row>88</xdr:row>
      <xdr:rowOff>146115</xdr:rowOff>
    </xdr:from>
    <xdr:ext cx="1947334" cy="266636"/>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id="{00000000-0008-0000-0100-00003B000000}"/>
                </a:ext>
              </a:extLst>
            </xdr:cNvPr>
            <xdr:cNvSpPr txBox="1"/>
          </xdr:nvSpPr>
          <xdr:spPr>
            <a:xfrm>
              <a:off x="3608917" y="37875698"/>
              <a:ext cx="1947334" cy="266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59" name="CuadroTexto 58">
              <a:extLst>
                <a:ext uri="{FF2B5EF4-FFF2-40B4-BE49-F238E27FC236}">
                  <a16:creationId xmlns:a16="http://schemas.microsoft.com/office/drawing/2014/main" xmlns:a14="http://schemas.microsoft.com/office/drawing/2010/main" xmlns="" id="{FEFF1C86-0BBF-4D92-99ED-19F3F25459D3}"/>
                </a:ext>
              </a:extLst>
            </xdr:cNvPr>
            <xdr:cNvSpPr txBox="1"/>
          </xdr:nvSpPr>
          <xdr:spPr>
            <a:xfrm>
              <a:off x="3608917" y="37875698"/>
              <a:ext cx="1947334" cy="266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twoCellAnchor editAs="oneCell">
    <xdr:from>
      <xdr:col>0</xdr:col>
      <xdr:colOff>530679</xdr:colOff>
      <xdr:row>0</xdr:row>
      <xdr:rowOff>122464</xdr:rowOff>
    </xdr:from>
    <xdr:to>
      <xdr:col>2</xdr:col>
      <xdr:colOff>680358</xdr:colOff>
      <xdr:row>2</xdr:row>
      <xdr:rowOff>365061</xdr:rowOff>
    </xdr:to>
    <xdr:pic>
      <xdr:nvPicPr>
        <xdr:cNvPr id="30" name="29 Imagen">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5"/>
        <a:stretch>
          <a:fillRect/>
        </a:stretch>
      </xdr:blipFill>
      <xdr:spPr>
        <a:xfrm>
          <a:off x="530679" y="122464"/>
          <a:ext cx="2381250" cy="1113454"/>
        </a:xfrm>
        <a:prstGeom prst="rect">
          <a:avLst/>
        </a:prstGeom>
      </xdr:spPr>
    </xdr:pic>
    <xdr:clientData/>
  </xdr:twoCellAnchor>
  <xdr:oneCellAnchor>
    <xdr:from>
      <xdr:col>3</xdr:col>
      <xdr:colOff>923948</xdr:colOff>
      <xdr:row>90</xdr:row>
      <xdr:rowOff>116827</xdr:rowOff>
    </xdr:from>
    <xdr:ext cx="650819" cy="188385"/>
    <mc:AlternateContent xmlns:mc="http://schemas.openxmlformats.org/markup-compatibility/2006" xmlns:a14="http://schemas.microsoft.com/office/drawing/2010/main">
      <mc:Choice Requires="a14">
        <xdr:sp macro="" textlink="">
          <xdr:nvSpPr>
            <xdr:cNvPr id="62" name="CuadroTexto 37">
              <a:extLst>
                <a:ext uri="{FF2B5EF4-FFF2-40B4-BE49-F238E27FC236}">
                  <a16:creationId xmlns:a16="http://schemas.microsoft.com/office/drawing/2014/main" id="{00000000-0008-0000-0100-00003E000000}"/>
                </a:ext>
              </a:extLst>
            </xdr:cNvPr>
            <xdr:cNvSpPr txBox="1"/>
          </xdr:nvSpPr>
          <xdr:spPr>
            <a:xfrm>
              <a:off x="4257698" y="38798910"/>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sSub>
                      <m:sSubPr>
                        <m:ctrlPr>
                          <a:rPr lang="es-CO" sz="1100" b="1" i="1">
                            <a:solidFill>
                              <a:schemeClr val="tx1"/>
                            </a:solidFill>
                            <a:effectLst/>
                            <a:latin typeface="Cambria Math" panose="02040503050406030204" pitchFamily="18" charset="0"/>
                            <a:ea typeface="+mn-ea"/>
                            <a:cs typeface="+mn-cs"/>
                          </a:rPr>
                        </m:ctrlPr>
                      </m:sSubPr>
                      <m:e>
                        <m:r>
                          <a:rPr lang="es-ES" sz="1100" b="1">
                            <a:solidFill>
                              <a:schemeClr val="tx1"/>
                            </a:solidFill>
                            <a:effectLst/>
                            <a:latin typeface="Cambria Math"/>
                            <a:ea typeface="+mn-ea"/>
                            <a:cs typeface="+mn-cs"/>
                          </a:rPr>
                          <m:t>(</m:t>
                        </m:r>
                        <m:r>
                          <a:rPr lang="es-ES" sz="1100" b="1" i="1">
                            <a:solidFill>
                              <a:schemeClr val="tx1"/>
                            </a:solidFill>
                            <a:effectLst/>
                            <a:latin typeface="Cambria Math"/>
                            <a:ea typeface="+mn-ea"/>
                            <a:cs typeface="+mn-cs"/>
                          </a:rPr>
                          <m:t>𝜹</m:t>
                        </m:r>
                      </m:e>
                      <m:sub>
                        <m:r>
                          <a:rPr lang="es-MX" sz="1100" b="1" i="1">
                            <a:solidFill>
                              <a:schemeClr val="tx1"/>
                            </a:solidFill>
                            <a:effectLst/>
                            <a:latin typeface="Cambria Math"/>
                            <a:ea typeface="+mn-ea"/>
                            <a:cs typeface="+mn-cs"/>
                          </a:rPr>
                          <m:t>𝒎</m:t>
                        </m:r>
                        <m:r>
                          <a:rPr lang="es-CO" sz="1100" b="1" i="1">
                            <a:solidFill>
                              <a:schemeClr val="tx1"/>
                            </a:solidFill>
                            <a:effectLst/>
                            <a:latin typeface="Cambria Math"/>
                            <a:ea typeface="+mn-ea"/>
                            <a:cs typeface="+mn-cs"/>
                          </a:rPr>
                          <m:t>𝒓</m:t>
                        </m:r>
                      </m:sub>
                    </m:sSub>
                    <m:r>
                      <a:rPr lang="es-ES" sz="1100" b="1">
                        <a:solidFill>
                          <a:schemeClr val="tx1"/>
                        </a:solidFill>
                        <a:effectLst/>
                        <a:latin typeface="Cambria Math"/>
                        <a:ea typeface="+mn-ea"/>
                        <a:cs typeface="+mn-cs"/>
                      </a:rPr>
                      <m:t>)</m:t>
                    </m:r>
                  </m:oMath>
                </m:oMathPara>
              </a14:m>
              <a:endParaRPr lang="es-CO" sz="1100">
                <a:solidFill>
                  <a:schemeClr val="tx1"/>
                </a:solidFill>
              </a:endParaRPr>
            </a:p>
          </xdr:txBody>
        </xdr:sp>
      </mc:Choice>
      <mc:Fallback xmlns="">
        <xdr:sp macro="" textlink="">
          <xdr:nvSpPr>
            <xdr:cNvPr id="62" name="CuadroTexto 37">
              <a:extLst>
                <a:ext uri="{FF2B5EF4-FFF2-40B4-BE49-F238E27FC236}">
                  <a16:creationId xmlns:a16="http://schemas.microsoft.com/office/drawing/2014/main" xmlns="" xmlns:a14="http://schemas.microsoft.com/office/drawing/2010/main" id="{00000000-0008-0000-0100-000026000000}"/>
                </a:ext>
              </a:extLst>
            </xdr:cNvPr>
            <xdr:cNvSpPr txBox="1"/>
          </xdr:nvSpPr>
          <xdr:spPr>
            <a:xfrm>
              <a:off x="4257698" y="38798910"/>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1" i="0">
                  <a:solidFill>
                    <a:schemeClr val="tx1"/>
                  </a:solidFill>
                  <a:effectLst/>
                  <a:latin typeface="Cambria Math"/>
                  <a:ea typeface="+mn-ea"/>
                  <a:cs typeface="+mn-cs"/>
                </a:rPr>
                <a:t> 〖</a:t>
              </a:r>
              <a:r>
                <a:rPr lang="es-ES" sz="1100" b="1" i="0">
                  <a:solidFill>
                    <a:schemeClr val="tx1"/>
                  </a:solidFill>
                  <a:effectLst/>
                  <a:latin typeface="Cambria Math"/>
                  <a:ea typeface="+mn-ea"/>
                  <a:cs typeface="+mn-cs"/>
                </a:rPr>
                <a:t>(𝜹</a:t>
              </a:r>
              <a:r>
                <a:rPr lang="es-CO" sz="1100" b="1" i="0">
                  <a:solidFill>
                    <a:schemeClr val="tx1"/>
                  </a:solidFill>
                  <a:effectLst/>
                  <a:latin typeface="Cambria Math"/>
                  <a:ea typeface="+mn-ea"/>
                  <a:cs typeface="+mn-cs"/>
                </a:rPr>
                <a:t>〗_</a:t>
              </a:r>
              <a:r>
                <a:rPr lang="es-MX" sz="1100" b="1" i="0">
                  <a:solidFill>
                    <a:schemeClr val="tx1"/>
                  </a:solidFill>
                  <a:effectLst/>
                  <a:latin typeface="Cambria Math"/>
                  <a:ea typeface="+mn-ea"/>
                  <a:cs typeface="+mn-cs"/>
                </a:rPr>
                <a:t>𝒎</a:t>
              </a:r>
              <a:r>
                <a:rPr lang="es-CO" sz="1100" b="1" i="0">
                  <a:solidFill>
                    <a:schemeClr val="tx1"/>
                  </a:solidFill>
                  <a:effectLst/>
                  <a:latin typeface="Cambria Math"/>
                  <a:ea typeface="+mn-ea"/>
                  <a:cs typeface="+mn-cs"/>
                </a:rPr>
                <a:t>𝒓</a:t>
              </a:r>
              <a:r>
                <a:rPr lang="es-ES" sz="1100" b="1" i="0">
                  <a:solidFill>
                    <a:schemeClr val="tx1"/>
                  </a:solidFill>
                  <a:effectLst/>
                  <a:latin typeface="Cambria Math"/>
                  <a:ea typeface="+mn-ea"/>
                  <a:cs typeface="+mn-cs"/>
                </a:rPr>
                <a:t>)</a:t>
              </a:r>
              <a:endParaRPr lang="es-CO" sz="1100">
                <a:solidFill>
                  <a:schemeClr val="tx1"/>
                </a:solidFill>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0</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530679</xdr:colOff>
      <xdr:row>0</xdr:row>
      <xdr:rowOff>108858</xdr:rowOff>
    </xdr:from>
    <xdr:to>
      <xdr:col>2</xdr:col>
      <xdr:colOff>408215</xdr:colOff>
      <xdr:row>0</xdr:row>
      <xdr:rowOff>859644</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530679" y="108858"/>
          <a:ext cx="1605643" cy="7507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762000</xdr:colOff>
      <xdr:row>12</xdr:row>
      <xdr:rowOff>166687</xdr:rowOff>
    </xdr:from>
    <xdr:to>
      <xdr:col>8</xdr:col>
      <xdr:colOff>970719</xdr:colOff>
      <xdr:row>25</xdr:row>
      <xdr:rowOff>61375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1063625</xdr:colOff>
      <xdr:row>12</xdr:row>
      <xdr:rowOff>150813</xdr:rowOff>
    </xdr:from>
    <xdr:to>
      <xdr:col>11</xdr:col>
      <xdr:colOff>915156</xdr:colOff>
      <xdr:row>25</xdr:row>
      <xdr:rowOff>45501</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1127126</xdr:colOff>
      <xdr:row>12</xdr:row>
      <xdr:rowOff>150813</xdr:rowOff>
    </xdr:from>
    <xdr:to>
      <xdr:col>14</xdr:col>
      <xdr:colOff>756407</xdr:colOff>
      <xdr:row>25</xdr:row>
      <xdr:rowOff>45501</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769937</xdr:colOff>
      <xdr:row>26</xdr:row>
      <xdr:rowOff>166687</xdr:rowOff>
    </xdr:from>
    <xdr:to>
      <xdr:col>8</xdr:col>
      <xdr:colOff>978656</xdr:colOff>
      <xdr:row>39</xdr:row>
      <xdr:rowOff>61375</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134937</xdr:colOff>
      <xdr:row>26</xdr:row>
      <xdr:rowOff>150812</xdr:rowOff>
    </xdr:from>
    <xdr:to>
      <xdr:col>11</xdr:col>
      <xdr:colOff>1073906</xdr:colOff>
      <xdr:row>39</xdr:row>
      <xdr:rowOff>45500</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130652</xdr:colOff>
      <xdr:row>0</xdr:row>
      <xdr:rowOff>163287</xdr:rowOff>
    </xdr:from>
    <xdr:to>
      <xdr:col>3</xdr:col>
      <xdr:colOff>312965</xdr:colOff>
      <xdr:row>2</xdr:row>
      <xdr:rowOff>326573</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6"/>
        <a:stretch>
          <a:fillRect/>
        </a:stretch>
      </xdr:blipFill>
      <xdr:spPr>
        <a:xfrm>
          <a:off x="892652" y="163287"/>
          <a:ext cx="1978456" cy="9252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693963</xdr:colOff>
      <xdr:row>0</xdr:row>
      <xdr:rowOff>163286</xdr:rowOff>
    </xdr:from>
    <xdr:to>
      <xdr:col>1</xdr:col>
      <xdr:colOff>870856</xdr:colOff>
      <xdr:row>0</xdr:row>
      <xdr:rowOff>1079500</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693963" y="163286"/>
          <a:ext cx="1959429" cy="9162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1047151</xdr:colOff>
      <xdr:row>58</xdr:row>
      <xdr:rowOff>159794</xdr:rowOff>
    </xdr:from>
    <xdr:to>
      <xdr:col>6</xdr:col>
      <xdr:colOff>311727</xdr:colOff>
      <xdr:row>61</xdr:row>
      <xdr:rowOff>160633</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98</xdr:row>
      <xdr:rowOff>95983</xdr:rowOff>
    </xdr:from>
    <xdr:ext cx="65" cy="172227"/>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6" name="CuadroTexto 5">
          <a:extLst>
            <a:ext uri="{FF2B5EF4-FFF2-40B4-BE49-F238E27FC236}">
              <a16:creationId xmlns:a16="http://schemas.microsoft.com/office/drawing/2014/main" id="{00000000-0008-0000-0500-000006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133</xdr:row>
      <xdr:rowOff>86445</xdr:rowOff>
    </xdr:from>
    <xdr:ext cx="3400931" cy="24492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02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110836</xdr:colOff>
      <xdr:row>115</xdr:row>
      <xdr:rowOff>158750</xdr:rowOff>
    </xdr:from>
    <xdr:to>
      <xdr:col>6</xdr:col>
      <xdr:colOff>798656</xdr:colOff>
      <xdr:row>130</xdr:row>
      <xdr:rowOff>18473</xdr:rowOff>
    </xdr:to>
    <xdr:graphicFrame macro="">
      <xdr:nvGraphicFramePr>
        <xdr:cNvPr id="11" name="Gráfico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314902</xdr:colOff>
      <xdr:row>60</xdr:row>
      <xdr:rowOff>163808</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965101" y="20397244"/>
          <a:ext cx="1741076" cy="115018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139700" y="33427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4" name="CuadroTexto 3">
          <a:extLst>
            <a:ext uri="{FF2B5EF4-FFF2-40B4-BE49-F238E27FC236}">
              <a16:creationId xmlns:a16="http://schemas.microsoft.com/office/drawing/2014/main" id="{00000000-0008-0000-0600-000004000000}"/>
            </a:ext>
          </a:extLst>
        </xdr:cNvPr>
        <xdr:cNvSpPr txBox="1"/>
      </xdr:nvSpPr>
      <xdr:spPr>
        <a:xfrm>
          <a:off x="139700" y="33427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132</xdr:row>
      <xdr:rowOff>86445</xdr:rowOff>
    </xdr:from>
    <xdr:ext cx="3400931" cy="244928"/>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1923969" y="4420624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5" name="CuadroTexto 4">
              <a:extLst>
                <a:ext uri="{FF2B5EF4-FFF2-40B4-BE49-F238E27FC236}">
                  <a16:creationId xmlns:a16="http://schemas.microsoft.com/office/drawing/2014/main" id="{0BD16727-65B7-4217-9B5B-AB0F5D50409A}"/>
                </a:ext>
              </a:extLst>
            </xdr:cNvPr>
            <xdr:cNvSpPr txBox="1"/>
          </xdr:nvSpPr>
          <xdr:spPr>
            <a:xfrm>
              <a:off x="1923969" y="4420624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110836</xdr:colOff>
      <xdr:row>114</xdr:row>
      <xdr:rowOff>158750</xdr:rowOff>
    </xdr:from>
    <xdr:to>
      <xdr:col>6</xdr:col>
      <xdr:colOff>798656</xdr:colOff>
      <xdr:row>129</xdr:row>
      <xdr:rowOff>18473</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7030A0"/>
  </sheetPr>
  <dimension ref="A1:CE203"/>
  <sheetViews>
    <sheetView showGridLines="0" view="pageBreakPreview" zoomScale="70" zoomScaleNormal="66" zoomScaleSheetLayoutView="70" workbookViewId="0">
      <selection activeCell="B17" sqref="B17"/>
    </sheetView>
  </sheetViews>
  <sheetFormatPr baseColWidth="10" defaultColWidth="15.7109375" defaultRowHeight="18" x14ac:dyDescent="0.2"/>
  <cols>
    <col min="1" max="1" width="15.7109375" style="54"/>
    <col min="2" max="7" width="20.7109375" style="54" customWidth="1"/>
    <col min="8" max="8" width="20.140625" style="54" customWidth="1"/>
    <col min="9" max="9" width="24.28515625" style="54" customWidth="1"/>
    <col min="10" max="10" width="22.140625" style="54" customWidth="1"/>
    <col min="11" max="12" width="20.7109375" style="54" customWidth="1"/>
    <col min="13" max="13" width="19.140625" style="54" customWidth="1"/>
    <col min="14" max="14" width="19.42578125" style="54" customWidth="1"/>
    <col min="15" max="16" width="20.7109375" style="56" customWidth="1"/>
    <col min="17" max="17" width="24.28515625" style="56" customWidth="1"/>
    <col min="18" max="21" width="20.7109375" style="56" customWidth="1"/>
    <col min="22" max="22" width="22.140625" style="409" customWidth="1"/>
    <col min="23" max="26" width="20.7109375" style="56" customWidth="1"/>
    <col min="27" max="33" width="20.7109375" style="54" customWidth="1"/>
    <col min="34" max="34" width="19.85546875" style="54" bestFit="1" customWidth="1"/>
    <col min="35" max="38" width="15.85546875" style="54" bestFit="1" customWidth="1"/>
    <col min="39" max="43" width="16" style="54" customWidth="1"/>
    <col min="44" max="47" width="10.7109375" style="54" customWidth="1"/>
    <col min="48" max="48" width="16" style="54" bestFit="1" customWidth="1"/>
    <col min="49" max="49" width="15.85546875" style="54" bestFit="1" customWidth="1"/>
    <col min="50" max="50" width="20.7109375" style="54" bestFit="1" customWidth="1"/>
    <col min="51" max="51" width="15.85546875" style="54" bestFit="1" customWidth="1"/>
    <col min="52" max="52" width="15.7109375" style="54"/>
    <col min="53" max="53" width="20" style="54" customWidth="1"/>
    <col min="54" max="55" width="10.7109375" style="54" customWidth="1"/>
    <col min="56" max="16384" width="15.7109375" style="54"/>
  </cols>
  <sheetData>
    <row r="1" spans="1:83" ht="94.5" customHeight="1" thickBot="1" x14ac:dyDescent="0.25">
      <c r="A1" s="1013"/>
      <c r="B1" s="1013"/>
      <c r="C1" s="1013"/>
      <c r="D1" s="1013"/>
      <c r="E1" s="1013"/>
      <c r="F1" s="1014" t="s">
        <v>519</v>
      </c>
      <c r="G1" s="1015"/>
      <c r="H1" s="1015"/>
      <c r="I1" s="1015"/>
      <c r="J1" s="1015"/>
      <c r="K1" s="1015"/>
      <c r="L1" s="1015"/>
      <c r="M1" s="1015"/>
      <c r="N1" s="1015"/>
      <c r="O1" s="1015"/>
      <c r="P1" s="1015"/>
      <c r="Q1" s="1015"/>
      <c r="R1" s="1015"/>
      <c r="S1" s="1015"/>
      <c r="T1" s="1015"/>
      <c r="U1" s="1015"/>
      <c r="V1" s="1016"/>
    </row>
    <row r="2" spans="1:83" ht="50.1" customHeight="1" thickBot="1" x14ac:dyDescent="0.25">
      <c r="B2" s="55"/>
      <c r="C2" s="55"/>
      <c r="D2" s="55"/>
      <c r="E2" s="55"/>
      <c r="F2" s="55"/>
      <c r="G2" s="55"/>
      <c r="H2" s="55"/>
      <c r="I2" s="55"/>
      <c r="J2" s="55"/>
      <c r="K2" s="55"/>
      <c r="L2" s="55"/>
      <c r="M2" s="55"/>
    </row>
    <row r="3" spans="1:83" ht="30" customHeight="1" x14ac:dyDescent="0.2">
      <c r="B3" s="55"/>
      <c r="C3" s="1149" t="s">
        <v>98</v>
      </c>
      <c r="D3" s="1150"/>
      <c r="E3" s="1150"/>
      <c r="F3" s="1150"/>
      <c r="G3" s="1150"/>
      <c r="H3" s="1150"/>
      <c r="I3" s="1150"/>
      <c r="J3" s="1150"/>
      <c r="K3" s="1150"/>
      <c r="L3" s="1150"/>
      <c r="M3" s="1150"/>
      <c r="N3" s="1151"/>
    </row>
    <row r="4" spans="1:83" ht="30" customHeight="1" thickBot="1" x14ac:dyDescent="0.25">
      <c r="B4" s="55"/>
      <c r="C4" s="1152"/>
      <c r="D4" s="1153"/>
      <c r="E4" s="1153"/>
      <c r="F4" s="1153"/>
      <c r="G4" s="1153"/>
      <c r="H4" s="1153"/>
      <c r="I4" s="1153"/>
      <c r="J4" s="1153"/>
      <c r="K4" s="1153"/>
      <c r="L4" s="1153"/>
      <c r="M4" s="1153"/>
      <c r="N4" s="1154"/>
    </row>
    <row r="5" spans="1:83" ht="30" customHeight="1" x14ac:dyDescent="0.2">
      <c r="B5" s="55"/>
      <c r="C5" s="1176" t="s">
        <v>99</v>
      </c>
      <c r="D5" s="1144" t="s">
        <v>6</v>
      </c>
      <c r="E5" s="1144" t="s">
        <v>530</v>
      </c>
      <c r="F5" s="1144" t="s">
        <v>7</v>
      </c>
      <c r="G5" s="1144" t="s">
        <v>318</v>
      </c>
      <c r="H5" s="1144" t="s">
        <v>434</v>
      </c>
      <c r="I5" s="1144" t="s">
        <v>177</v>
      </c>
      <c r="J5" s="1145" t="s">
        <v>525</v>
      </c>
      <c r="K5" s="1147" t="s">
        <v>526</v>
      </c>
      <c r="L5" s="1023"/>
      <c r="M5" s="1159" t="s">
        <v>325</v>
      </c>
      <c r="N5" s="1161" t="s">
        <v>224</v>
      </c>
    </row>
    <row r="6" spans="1:83" ht="45" customHeight="1" thickBot="1" x14ac:dyDescent="0.25">
      <c r="B6" s="55"/>
      <c r="C6" s="1177"/>
      <c r="D6" s="1143"/>
      <c r="E6" s="1143"/>
      <c r="F6" s="1143"/>
      <c r="G6" s="1143"/>
      <c r="H6" s="1143"/>
      <c r="I6" s="1143"/>
      <c r="J6" s="1146"/>
      <c r="K6" s="1148"/>
      <c r="L6" s="1024"/>
      <c r="M6" s="1160" t="s">
        <v>223</v>
      </c>
      <c r="N6" s="1162"/>
    </row>
    <row r="7" spans="1:83" ht="30" customHeight="1" x14ac:dyDescent="0.2">
      <c r="B7" s="55"/>
      <c r="C7" s="91"/>
      <c r="D7" s="92"/>
      <c r="E7" s="92"/>
      <c r="F7" s="92"/>
      <c r="G7" s="92"/>
      <c r="H7" s="92"/>
      <c r="I7" s="92"/>
      <c r="J7" s="92"/>
      <c r="K7" s="92"/>
      <c r="L7" s="93"/>
      <c r="M7" s="96"/>
      <c r="N7" s="93"/>
    </row>
    <row r="8" spans="1:83" s="61" customFormat="1" ht="75" customHeight="1" x14ac:dyDescent="0.25">
      <c r="B8" s="60"/>
      <c r="C8" s="193">
        <v>1</v>
      </c>
      <c r="D8" s="502"/>
      <c r="E8" s="250"/>
      <c r="F8" s="503"/>
      <c r="G8" s="503"/>
      <c r="H8" s="290"/>
      <c r="I8" s="250"/>
      <c r="J8" s="502"/>
      <c r="K8" s="502"/>
      <c r="L8" s="216"/>
      <c r="M8" s="217">
        <v>2</v>
      </c>
      <c r="N8" s="293">
        <v>0.95</v>
      </c>
      <c r="V8" s="410"/>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CD8" s="54"/>
      <c r="CE8" s="54"/>
    </row>
    <row r="9" spans="1:83" s="61" customFormat="1" ht="30" customHeight="1" thickBot="1" x14ac:dyDescent="0.3">
      <c r="B9" s="60"/>
      <c r="C9" s="62"/>
      <c r="D9" s="63"/>
      <c r="E9" s="63"/>
      <c r="F9" s="63"/>
      <c r="G9" s="63"/>
      <c r="H9" s="63"/>
      <c r="I9" s="63"/>
      <c r="J9" s="63"/>
      <c r="K9" s="63"/>
      <c r="L9" s="90"/>
      <c r="M9" s="94"/>
      <c r="N9" s="95"/>
      <c r="V9" s="410"/>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CD9" s="54"/>
      <c r="CE9" s="54"/>
    </row>
    <row r="10" spans="1:83" s="61" customFormat="1" ht="30" customHeight="1" x14ac:dyDescent="0.25">
      <c r="B10" s="60"/>
      <c r="C10" s="60"/>
      <c r="D10" s="60"/>
      <c r="E10" s="60"/>
      <c r="F10" s="60"/>
      <c r="G10" s="60"/>
      <c r="H10" s="60"/>
      <c r="I10" s="60"/>
      <c r="J10" s="60"/>
      <c r="K10" s="60"/>
      <c r="L10" s="60"/>
      <c r="M10" s="55"/>
      <c r="V10" s="410"/>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CD10" s="54"/>
      <c r="CE10" s="54"/>
    </row>
    <row r="11" spans="1:83" s="61" customFormat="1" ht="30" customHeight="1" thickBot="1" x14ac:dyDescent="0.3">
      <c r="B11" s="60"/>
      <c r="C11" s="60"/>
      <c r="D11" s="60"/>
      <c r="E11" s="60"/>
      <c r="F11" s="60"/>
      <c r="G11" s="60"/>
      <c r="H11" s="60"/>
      <c r="I11" s="60"/>
      <c r="J11" s="60"/>
      <c r="K11" s="60"/>
      <c r="L11" s="60"/>
      <c r="M11" s="55"/>
      <c r="V11" s="410"/>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CD11" s="54"/>
      <c r="CE11" s="54"/>
    </row>
    <row r="12" spans="1:83" s="61" customFormat="1" ht="30" customHeight="1" x14ac:dyDescent="0.25">
      <c r="B12" s="60"/>
      <c r="C12" s="1149" t="s">
        <v>531</v>
      </c>
      <c r="D12" s="1150"/>
      <c r="E12" s="1150"/>
      <c r="F12" s="1150"/>
      <c r="G12" s="1150"/>
      <c r="H12" s="1150"/>
      <c r="I12" s="1150"/>
      <c r="J12" s="1150"/>
      <c r="K12" s="1150"/>
      <c r="L12" s="1151"/>
      <c r="M12" s="55"/>
      <c r="N12" s="54"/>
      <c r="V12" s="410"/>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CD12" s="54"/>
      <c r="CE12" s="54"/>
    </row>
    <row r="13" spans="1:83" ht="30" customHeight="1" thickBot="1" x14ac:dyDescent="0.25">
      <c r="B13" s="60"/>
      <c r="C13" s="1152"/>
      <c r="D13" s="1153"/>
      <c r="E13" s="1153"/>
      <c r="F13" s="1153"/>
      <c r="G13" s="1153"/>
      <c r="H13" s="1153"/>
      <c r="I13" s="1153"/>
      <c r="J13" s="1153"/>
      <c r="K13" s="1153"/>
      <c r="L13" s="1154"/>
      <c r="M13" s="55"/>
    </row>
    <row r="14" spans="1:83" ht="30" customHeight="1" x14ac:dyDescent="0.2">
      <c r="B14" s="60"/>
      <c r="C14" s="1136" t="s">
        <v>99</v>
      </c>
      <c r="D14" s="1138" t="s">
        <v>3</v>
      </c>
      <c r="E14" s="1138" t="s">
        <v>8</v>
      </c>
      <c r="F14" s="1138" t="s">
        <v>1</v>
      </c>
      <c r="G14" s="1140" t="s">
        <v>430</v>
      </c>
      <c r="H14" s="1140" t="s">
        <v>431</v>
      </c>
      <c r="I14" s="1138" t="s">
        <v>235</v>
      </c>
      <c r="J14" s="1138" t="s">
        <v>327</v>
      </c>
      <c r="K14" s="1142" t="s">
        <v>232</v>
      </c>
      <c r="L14" s="1178" t="s">
        <v>236</v>
      </c>
      <c r="M14" s="55"/>
    </row>
    <row r="15" spans="1:83" ht="30" customHeight="1" thickBot="1" x14ac:dyDescent="0.25">
      <c r="B15" s="60"/>
      <c r="C15" s="1137"/>
      <c r="D15" s="1139"/>
      <c r="E15" s="1139"/>
      <c r="F15" s="1139"/>
      <c r="G15" s="1141"/>
      <c r="H15" s="1141"/>
      <c r="I15" s="1139"/>
      <c r="J15" s="1139"/>
      <c r="K15" s="1143"/>
      <c r="L15" s="1179"/>
      <c r="M15" s="55"/>
    </row>
    <row r="16" spans="1:83" ht="30" customHeight="1" x14ac:dyDescent="0.2">
      <c r="B16" s="60"/>
      <c r="C16" s="57"/>
      <c r="D16" s="58"/>
      <c r="E16" s="58"/>
      <c r="F16" s="58"/>
      <c r="G16" s="58"/>
      <c r="H16" s="58"/>
      <c r="I16" s="58"/>
      <c r="J16" s="58"/>
      <c r="K16" s="58"/>
      <c r="L16" s="59"/>
      <c r="M16" s="55"/>
    </row>
    <row r="17" spans="2:46" ht="30" customHeight="1" x14ac:dyDescent="0.2">
      <c r="B17" s="60"/>
      <c r="C17" s="193">
        <v>1</v>
      </c>
      <c r="D17" s="503"/>
      <c r="E17" s="503"/>
      <c r="F17" s="503"/>
      <c r="G17" s="251"/>
      <c r="H17" s="503"/>
      <c r="I17" s="503"/>
      <c r="J17" s="503"/>
      <c r="K17" s="248">
        <f>J8</f>
        <v>0</v>
      </c>
      <c r="L17" s="249">
        <f>K8</f>
        <v>0</v>
      </c>
      <c r="M17" s="55"/>
    </row>
    <row r="18" spans="2:46" ht="30" customHeight="1" thickBot="1" x14ac:dyDescent="0.25">
      <c r="B18" s="60"/>
      <c r="C18" s="64"/>
      <c r="D18" s="65"/>
      <c r="E18" s="65"/>
      <c r="F18" s="65"/>
      <c r="G18" s="66"/>
      <c r="H18" s="66"/>
      <c r="I18" s="65"/>
      <c r="J18" s="65"/>
      <c r="K18" s="66"/>
      <c r="L18" s="67"/>
      <c r="M18" s="55"/>
    </row>
    <row r="19" spans="2:46" ht="30" customHeight="1" x14ac:dyDescent="0.2">
      <c r="B19" s="60"/>
      <c r="C19" s="60"/>
      <c r="D19" s="60"/>
      <c r="E19" s="60"/>
      <c r="F19" s="60"/>
      <c r="G19" s="60"/>
      <c r="H19" s="60"/>
      <c r="I19" s="60"/>
      <c r="J19" s="60"/>
      <c r="K19" s="60"/>
      <c r="L19" s="60"/>
      <c r="M19" s="55"/>
    </row>
    <row r="20" spans="2:46" ht="30" customHeight="1" x14ac:dyDescent="0.2">
      <c r="B20" s="60"/>
      <c r="C20" s="60"/>
      <c r="D20" s="60"/>
      <c r="E20" s="60"/>
      <c r="F20" s="60"/>
      <c r="G20" s="60"/>
      <c r="H20" s="60"/>
      <c r="I20" s="60"/>
      <c r="J20" s="60"/>
      <c r="K20" s="60"/>
      <c r="L20" s="60"/>
      <c r="M20" s="55"/>
      <c r="AS20" s="60"/>
      <c r="AT20" s="55"/>
    </row>
    <row r="21" spans="2:46" ht="30" customHeight="1" x14ac:dyDescent="0.2">
      <c r="B21" s="60"/>
      <c r="C21" s="60"/>
      <c r="D21" s="60"/>
      <c r="E21" s="60"/>
      <c r="F21" s="60"/>
      <c r="G21" s="60"/>
      <c r="H21" s="60"/>
      <c r="I21" s="60"/>
      <c r="J21" s="60"/>
      <c r="K21" s="60"/>
      <c r="L21" s="60"/>
      <c r="M21" s="55"/>
      <c r="AS21" s="60"/>
      <c r="AT21" s="55"/>
    </row>
    <row r="22" spans="2:46" ht="30" customHeight="1" thickBot="1" x14ac:dyDescent="0.25">
      <c r="B22" s="60"/>
      <c r="C22" s="60"/>
      <c r="D22" s="60"/>
      <c r="E22" s="60"/>
      <c r="F22" s="60"/>
      <c r="G22" s="60"/>
      <c r="H22" s="60"/>
      <c r="I22" s="60"/>
      <c r="J22" s="60"/>
      <c r="K22" s="60"/>
      <c r="L22" s="60"/>
      <c r="M22" s="55"/>
      <c r="AS22" s="60"/>
      <c r="AT22" s="55"/>
    </row>
    <row r="23" spans="2:46" ht="30" customHeight="1" x14ac:dyDescent="0.2">
      <c r="B23" s="60"/>
      <c r="C23" s="1149" t="s">
        <v>181</v>
      </c>
      <c r="D23" s="1150"/>
      <c r="E23" s="1150"/>
      <c r="F23" s="1150"/>
      <c r="G23" s="1150"/>
      <c r="H23" s="1150"/>
      <c r="I23" s="1150"/>
      <c r="J23" s="1150"/>
      <c r="K23" s="1150"/>
      <c r="L23" s="1150"/>
      <c r="M23" s="1150"/>
      <c r="N23" s="1150"/>
      <c r="O23" s="1150"/>
      <c r="P23" s="1150"/>
      <c r="Q23" s="1150"/>
      <c r="R23" s="1150"/>
      <c r="S23" s="1150"/>
      <c r="T23" s="1150"/>
      <c r="U23" s="1150"/>
      <c r="V23" s="1151"/>
      <c r="AS23" s="60"/>
      <c r="AT23" s="55"/>
    </row>
    <row r="24" spans="2:46" ht="30" customHeight="1" thickBot="1" x14ac:dyDescent="0.25">
      <c r="B24" s="60"/>
      <c r="C24" s="1152"/>
      <c r="D24" s="1153"/>
      <c r="E24" s="1153"/>
      <c r="F24" s="1153"/>
      <c r="G24" s="1153"/>
      <c r="H24" s="1153"/>
      <c r="I24" s="1153"/>
      <c r="J24" s="1153"/>
      <c r="K24" s="1153"/>
      <c r="L24" s="1153"/>
      <c r="M24" s="1153"/>
      <c r="N24" s="1153"/>
      <c r="O24" s="1153"/>
      <c r="P24" s="1153"/>
      <c r="Q24" s="1153"/>
      <c r="R24" s="1153"/>
      <c r="S24" s="1153"/>
      <c r="T24" s="1153"/>
      <c r="U24" s="1153"/>
      <c r="V24" s="1154"/>
      <c r="AS24" s="60"/>
      <c r="AT24" s="55"/>
    </row>
    <row r="25" spans="2:46" ht="30" customHeight="1" x14ac:dyDescent="0.2">
      <c r="B25" s="60"/>
      <c r="C25" s="1170" t="s">
        <v>102</v>
      </c>
      <c r="D25" s="1172" t="s">
        <v>0</v>
      </c>
      <c r="E25" s="1172" t="s">
        <v>3</v>
      </c>
      <c r="F25" s="1172" t="s">
        <v>1</v>
      </c>
      <c r="G25" s="1172" t="s">
        <v>103</v>
      </c>
      <c r="H25" s="1174" t="s">
        <v>337</v>
      </c>
      <c r="I25" s="1174" t="s">
        <v>336</v>
      </c>
      <c r="J25" s="1168" t="s">
        <v>432</v>
      </c>
      <c r="K25" s="1168" t="s">
        <v>182</v>
      </c>
      <c r="L25" s="1168" t="s">
        <v>183</v>
      </c>
      <c r="M25" s="1168" t="s">
        <v>338</v>
      </c>
      <c r="N25" s="1174" t="s">
        <v>362</v>
      </c>
      <c r="O25" s="1168" t="s">
        <v>334</v>
      </c>
      <c r="P25" s="1174" t="s">
        <v>335</v>
      </c>
      <c r="Q25" s="296" t="s">
        <v>363</v>
      </c>
      <c r="R25" s="1168" t="s">
        <v>433</v>
      </c>
      <c r="S25" s="1168" t="s">
        <v>473</v>
      </c>
      <c r="T25" s="1168" t="s">
        <v>104</v>
      </c>
      <c r="U25" s="1166" t="s">
        <v>84</v>
      </c>
      <c r="V25" s="1168" t="s">
        <v>364</v>
      </c>
      <c r="AS25" s="60"/>
    </row>
    <row r="26" spans="2:46" ht="42.75" customHeight="1" thickBot="1" x14ac:dyDescent="0.25">
      <c r="B26" s="60"/>
      <c r="C26" s="1171"/>
      <c r="D26" s="1173"/>
      <c r="E26" s="1173"/>
      <c r="F26" s="1173"/>
      <c r="G26" s="1173"/>
      <c r="H26" s="1175"/>
      <c r="I26" s="1175"/>
      <c r="J26" s="1169"/>
      <c r="K26" s="1169"/>
      <c r="L26" s="1169"/>
      <c r="M26" s="1169"/>
      <c r="N26" s="1175"/>
      <c r="O26" s="1169"/>
      <c r="P26" s="1175"/>
      <c r="Q26" s="348" t="s">
        <v>385</v>
      </c>
      <c r="R26" s="1169"/>
      <c r="S26" s="1169"/>
      <c r="T26" s="1169"/>
      <c r="U26" s="1167"/>
      <c r="V26" s="1169"/>
      <c r="AS26" s="60"/>
    </row>
    <row r="27" spans="2:46" ht="30" customHeight="1" thickBot="1" x14ac:dyDescent="0.25">
      <c r="B27" s="60"/>
      <c r="C27" s="550"/>
      <c r="D27" s="551"/>
      <c r="E27" s="551"/>
      <c r="F27" s="551"/>
      <c r="G27" s="551"/>
      <c r="H27" s="551"/>
      <c r="I27" s="551"/>
      <c r="J27" s="551"/>
      <c r="K27" s="551"/>
      <c r="L27" s="551"/>
      <c r="M27" s="552"/>
      <c r="N27" s="551"/>
      <c r="O27" s="553"/>
      <c r="P27" s="553"/>
      <c r="Q27" s="551"/>
      <c r="R27" s="553"/>
      <c r="S27" s="551"/>
      <c r="T27" s="553"/>
      <c r="U27" s="554"/>
      <c r="V27" s="542"/>
      <c r="AS27" s="60"/>
    </row>
    <row r="28" spans="2:46" ht="30" customHeight="1" x14ac:dyDescent="0.2">
      <c r="B28" s="1163" t="s">
        <v>487</v>
      </c>
      <c r="C28" s="114" t="s">
        <v>294</v>
      </c>
      <c r="D28" s="103" t="s">
        <v>180</v>
      </c>
      <c r="E28" s="103" t="s">
        <v>163</v>
      </c>
      <c r="F28" s="103">
        <v>27696</v>
      </c>
      <c r="G28" s="103" t="s">
        <v>164</v>
      </c>
      <c r="H28" s="103">
        <v>4694</v>
      </c>
      <c r="I28" s="255">
        <v>44077</v>
      </c>
      <c r="J28" s="103">
        <v>5</v>
      </c>
      <c r="K28" s="103">
        <v>1</v>
      </c>
      <c r="L28" s="103">
        <v>1</v>
      </c>
      <c r="M28" s="254">
        <v>7.0000000000000007E-2</v>
      </c>
      <c r="N28" s="106">
        <v>7.0000000000000007E-2</v>
      </c>
      <c r="O28" s="548">
        <f>J28+(M28)/1000</f>
        <v>5.00007</v>
      </c>
      <c r="P28" s="119">
        <f>J28+(N28)/1000</f>
        <v>5.00007</v>
      </c>
      <c r="Q28" s="253">
        <f>(P28-O28)/SQRT(3)*1000</f>
        <v>0</v>
      </c>
      <c r="R28" s="106">
        <v>0.05</v>
      </c>
      <c r="S28" s="104">
        <f>(0.34848*((752.2+752.9)/2)-0.009024*((47+54.1)/2)*EXP(0.0612*((19.7+21.3)/2)))/(273.15+((19.7+21.3)/2))</f>
        <v>0.88761831143467929</v>
      </c>
      <c r="T28" s="103" t="s">
        <v>184</v>
      </c>
      <c r="U28" s="540" t="s">
        <v>228</v>
      </c>
      <c r="V28" s="1061">
        <v>2</v>
      </c>
      <c r="AS28" s="60"/>
    </row>
    <row r="29" spans="2:46" ht="30" customHeight="1" x14ac:dyDescent="0.2">
      <c r="B29" s="1164"/>
      <c r="C29" s="114" t="s">
        <v>295</v>
      </c>
      <c r="D29" s="103" t="s">
        <v>180</v>
      </c>
      <c r="E29" s="103" t="s">
        <v>163</v>
      </c>
      <c r="F29" s="103">
        <v>27696</v>
      </c>
      <c r="G29" s="103" t="s">
        <v>164</v>
      </c>
      <c r="H29" s="103">
        <f>$H$28</f>
        <v>4694</v>
      </c>
      <c r="I29" s="255">
        <f>$I$28</f>
        <v>44077</v>
      </c>
      <c r="J29" s="103">
        <v>200</v>
      </c>
      <c r="K29" s="103">
        <v>2</v>
      </c>
      <c r="L29" s="103">
        <v>2</v>
      </c>
      <c r="M29" s="254">
        <v>0.1</v>
      </c>
      <c r="N29" s="103">
        <v>0.1</v>
      </c>
      <c r="O29" s="504">
        <f t="shared" ref="O29:O89" si="0">J29+(M29)/1000</f>
        <v>200.0001</v>
      </c>
      <c r="P29" s="115">
        <f t="shared" ref="P29:P32" si="1">J29+(N29)/1000</f>
        <v>200.0001</v>
      </c>
      <c r="Q29" s="253">
        <f t="shared" ref="Q29:Q32" si="2">(P29-O29)/SQRT(3)*1000</f>
        <v>0</v>
      </c>
      <c r="R29" s="105">
        <v>0.33</v>
      </c>
      <c r="S29" s="104">
        <f>(0.34848*((752.2+752.9)/2)-0.009024*((47+54.1)/2)*EXP(0.0612*((19.7+21.3)/2)))/(273.15+((19.7+21.3)/2))</f>
        <v>0.88761831143467929</v>
      </c>
      <c r="T29" s="103" t="s">
        <v>184</v>
      </c>
      <c r="U29" s="540" t="s">
        <v>228</v>
      </c>
      <c r="V29" s="1062"/>
      <c r="AS29" s="60"/>
    </row>
    <row r="30" spans="2:46" ht="30" customHeight="1" x14ac:dyDescent="0.2">
      <c r="B30" s="1164"/>
      <c r="C30" s="114" t="s">
        <v>296</v>
      </c>
      <c r="D30" s="103" t="s">
        <v>180</v>
      </c>
      <c r="E30" s="103" t="s">
        <v>163</v>
      </c>
      <c r="F30" s="103">
        <v>27696</v>
      </c>
      <c r="G30" s="103" t="s">
        <v>164</v>
      </c>
      <c r="H30" s="103">
        <f t="shared" ref="H30:H34" si="3">$H$28</f>
        <v>4694</v>
      </c>
      <c r="I30" s="255">
        <f t="shared" ref="I30:I34" si="4">$I$28</f>
        <v>44077</v>
      </c>
      <c r="J30" s="103">
        <v>1000</v>
      </c>
      <c r="K30" s="103">
        <v>5</v>
      </c>
      <c r="L30" s="103">
        <v>5</v>
      </c>
      <c r="M30" s="254">
        <v>-0.6</v>
      </c>
      <c r="N30" s="103">
        <v>-0.6</v>
      </c>
      <c r="O30" s="253">
        <f t="shared" si="0"/>
        <v>999.99940000000004</v>
      </c>
      <c r="P30" s="104">
        <f t="shared" si="1"/>
        <v>999.99940000000004</v>
      </c>
      <c r="Q30" s="253">
        <f t="shared" si="2"/>
        <v>0</v>
      </c>
      <c r="R30" s="105">
        <v>1.6</v>
      </c>
      <c r="S30" s="104">
        <f>(0.34848*((752.2+752.9)/2)-0.009024*((47+54.1)/2)*EXP(0.0612*((19.7+21.3)/2)))/(273.15+((19.7+21.3)/2))</f>
        <v>0.88761831143467929</v>
      </c>
      <c r="T30" s="103" t="s">
        <v>184</v>
      </c>
      <c r="U30" s="540" t="s">
        <v>228</v>
      </c>
      <c r="V30" s="1062"/>
      <c r="AS30" s="60"/>
    </row>
    <row r="31" spans="2:46" ht="30" customHeight="1" x14ac:dyDescent="0.2">
      <c r="B31" s="1164"/>
      <c r="C31" s="114" t="s">
        <v>297</v>
      </c>
      <c r="D31" s="103" t="s">
        <v>180</v>
      </c>
      <c r="E31" s="103" t="s">
        <v>163</v>
      </c>
      <c r="F31" s="103">
        <v>27696</v>
      </c>
      <c r="G31" s="103" t="s">
        <v>164</v>
      </c>
      <c r="H31" s="103">
        <f t="shared" si="3"/>
        <v>4694</v>
      </c>
      <c r="I31" s="255">
        <f t="shared" si="4"/>
        <v>44077</v>
      </c>
      <c r="J31" s="103">
        <v>2000</v>
      </c>
      <c r="K31" s="103">
        <v>10</v>
      </c>
      <c r="L31" s="103">
        <v>10</v>
      </c>
      <c r="M31" s="254">
        <v>3.5</v>
      </c>
      <c r="N31" s="103">
        <v>3.4</v>
      </c>
      <c r="O31" s="505">
        <f t="shared" si="0"/>
        <v>2000.0035</v>
      </c>
      <c r="P31" s="201">
        <f t="shared" si="1"/>
        <v>2000.0034000000001</v>
      </c>
      <c r="Q31" s="253">
        <f>(P31-O31)/SQRT(3)*1000</f>
        <v>-5.7735026904469904E-2</v>
      </c>
      <c r="R31" s="105">
        <v>3</v>
      </c>
      <c r="S31" s="104">
        <f>(0.34848*((752.2+752.9)/2)-0.009024*((47+54.1)/2)*EXP(0.0612*((19.7+21.3)/2)))/(273.15+((19.7+21.3)/2))</f>
        <v>0.88761831143467929</v>
      </c>
      <c r="T31" s="103" t="s">
        <v>184</v>
      </c>
      <c r="U31" s="540" t="s">
        <v>228</v>
      </c>
      <c r="V31" s="1062"/>
      <c r="AS31" s="60"/>
    </row>
    <row r="32" spans="2:46" ht="30" customHeight="1" thickBot="1" x14ac:dyDescent="0.25">
      <c r="B32" s="1165"/>
      <c r="C32" s="114" t="s">
        <v>298</v>
      </c>
      <c r="D32" s="103" t="s">
        <v>180</v>
      </c>
      <c r="E32" s="103" t="s">
        <v>163</v>
      </c>
      <c r="F32" s="103">
        <v>27696</v>
      </c>
      <c r="G32" s="103" t="s">
        <v>164</v>
      </c>
      <c r="H32" s="103">
        <f t="shared" si="3"/>
        <v>4694</v>
      </c>
      <c r="I32" s="255">
        <f t="shared" si="4"/>
        <v>44077</v>
      </c>
      <c r="J32" s="103">
        <v>5000</v>
      </c>
      <c r="K32" s="103">
        <v>20</v>
      </c>
      <c r="L32" s="103">
        <v>20</v>
      </c>
      <c r="M32" s="254">
        <v>3.6</v>
      </c>
      <c r="N32" s="103">
        <v>3.4</v>
      </c>
      <c r="O32" s="505">
        <f t="shared" si="0"/>
        <v>5000.0036</v>
      </c>
      <c r="P32" s="201">
        <f t="shared" si="1"/>
        <v>5000.0033999999996</v>
      </c>
      <c r="Q32" s="253">
        <f t="shared" si="2"/>
        <v>-0.11547005407148832</v>
      </c>
      <c r="R32" s="105">
        <v>8</v>
      </c>
      <c r="S32" s="104">
        <f>(0.34848*((752.2+752.9)/2)-0.009024*((47+54.1)/2)*EXP(0.0612*((19.7+21.3)/2)))/(273.15+((19.7+21.3)/2))</f>
        <v>0.88761831143467929</v>
      </c>
      <c r="T32" s="103" t="s">
        <v>184</v>
      </c>
      <c r="U32" s="540" t="s">
        <v>228</v>
      </c>
      <c r="V32" s="1062"/>
      <c r="AS32" s="60"/>
    </row>
    <row r="33" spans="2:45" ht="30" customHeight="1" x14ac:dyDescent="0.2">
      <c r="B33" s="811"/>
      <c r="C33" s="114" t="s">
        <v>465</v>
      </c>
      <c r="D33" s="103" t="s">
        <v>180</v>
      </c>
      <c r="E33" s="103" t="s">
        <v>163</v>
      </c>
      <c r="F33" s="103">
        <v>27696</v>
      </c>
      <c r="G33" s="103" t="s">
        <v>164</v>
      </c>
      <c r="H33" s="103">
        <f t="shared" si="3"/>
        <v>4694</v>
      </c>
      <c r="I33" s="255">
        <f t="shared" si="4"/>
        <v>44077</v>
      </c>
      <c r="J33" s="103">
        <v>6000</v>
      </c>
      <c r="K33" s="103">
        <v>50</v>
      </c>
      <c r="L33" s="103">
        <v>50</v>
      </c>
      <c r="M33" s="287">
        <f>M32+M30</f>
        <v>3</v>
      </c>
      <c r="N33" s="103">
        <f>N32+N30</f>
        <v>2.8</v>
      </c>
      <c r="O33" s="505">
        <f>J33+(M33)/1000</f>
        <v>6000.0029999999997</v>
      </c>
      <c r="P33" s="201">
        <f>J33+(N33)/1000</f>
        <v>6000.0028000000002</v>
      </c>
      <c r="Q33" s="253">
        <f>(P33-O33)/SQRT(3)*1000</f>
        <v>-0.1154700535463913</v>
      </c>
      <c r="R33" s="105">
        <f>R32+R30</f>
        <v>9.6</v>
      </c>
      <c r="S33" s="104">
        <f t="shared" ref="S33:S34" si="5">(0.34848*((752.2+752.9)/2)-0.009024*((47+54.1)/2)*EXP(0.0612*((19.7+21.3)/2)))/(273.15+((19.7+21.3)/2))</f>
        <v>0.88761831143467929</v>
      </c>
      <c r="T33" s="103" t="s">
        <v>184</v>
      </c>
      <c r="U33" s="540" t="s">
        <v>228</v>
      </c>
      <c r="V33" s="1062"/>
      <c r="AS33" s="60"/>
    </row>
    <row r="34" spans="2:45" ht="30" customHeight="1" thickBot="1" x14ac:dyDescent="0.25">
      <c r="B34" s="69"/>
      <c r="C34" s="114" t="s">
        <v>380</v>
      </c>
      <c r="D34" s="103" t="s">
        <v>180</v>
      </c>
      <c r="E34" s="103" t="s">
        <v>163</v>
      </c>
      <c r="F34" s="103">
        <v>27696</v>
      </c>
      <c r="G34" s="103" t="s">
        <v>164</v>
      </c>
      <c r="H34" s="103">
        <f t="shared" si="3"/>
        <v>4694</v>
      </c>
      <c r="I34" s="255">
        <f t="shared" si="4"/>
        <v>44077</v>
      </c>
      <c r="J34" s="103">
        <v>8200</v>
      </c>
      <c r="K34" s="103">
        <v>100</v>
      </c>
      <c r="L34" s="103">
        <v>100</v>
      </c>
      <c r="M34" s="254">
        <f>M32+M31+M30+M29</f>
        <v>6.6</v>
      </c>
      <c r="N34" s="103">
        <f>N32+N31+N30+N29</f>
        <v>6.3</v>
      </c>
      <c r="O34" s="505">
        <f>J34+(M34)/1000</f>
        <v>8200.0066000000006</v>
      </c>
      <c r="P34" s="201">
        <f>J34+(N34)/1000</f>
        <v>8200.0062999999991</v>
      </c>
      <c r="Q34" s="253">
        <f>(P34-O34)/SQRT(3)*1000</f>
        <v>-0.17320508163232948</v>
      </c>
      <c r="R34" s="105">
        <f>R32+R31+R30+R29</f>
        <v>12.93</v>
      </c>
      <c r="S34" s="104">
        <f t="shared" si="5"/>
        <v>0.88761831143467929</v>
      </c>
      <c r="T34" s="103" t="s">
        <v>184</v>
      </c>
      <c r="U34" s="540" t="s">
        <v>228</v>
      </c>
      <c r="V34" s="1063"/>
      <c r="AS34" s="60"/>
    </row>
    <row r="35" spans="2:45" ht="30" customHeight="1" x14ac:dyDescent="0.2">
      <c r="B35" s="69"/>
      <c r="C35" s="349"/>
      <c r="D35" s="300"/>
      <c r="E35" s="300"/>
      <c r="F35" s="300"/>
      <c r="G35" s="300"/>
      <c r="H35" s="300"/>
      <c r="I35" s="302"/>
      <c r="J35" s="300"/>
      <c r="K35" s="300">
        <v>200</v>
      </c>
      <c r="L35" s="300">
        <v>200</v>
      </c>
      <c r="M35" s="300"/>
      <c r="N35" s="300"/>
      <c r="O35" s="305"/>
      <c r="P35" s="303"/>
      <c r="Q35" s="300"/>
      <c r="R35" s="300"/>
      <c r="S35" s="549"/>
      <c r="T35" s="300"/>
      <c r="U35" s="555"/>
      <c r="V35" s="543"/>
      <c r="AS35" s="60"/>
    </row>
    <row r="36" spans="2:45" ht="30" customHeight="1" x14ac:dyDescent="0.2">
      <c r="B36" s="69"/>
      <c r="C36" s="349"/>
      <c r="D36" s="300"/>
      <c r="E36" s="300"/>
      <c r="F36" s="300"/>
      <c r="G36" s="300"/>
      <c r="H36" s="300"/>
      <c r="I36" s="302"/>
      <c r="J36" s="300"/>
      <c r="K36" s="300">
        <v>500</v>
      </c>
      <c r="L36" s="300">
        <v>500</v>
      </c>
      <c r="M36" s="300"/>
      <c r="N36" s="300"/>
      <c r="O36" s="305"/>
      <c r="P36" s="303"/>
      <c r="Q36" s="300"/>
      <c r="R36" s="300"/>
      <c r="S36" s="300"/>
      <c r="T36" s="300"/>
      <c r="U36" s="555"/>
      <c r="V36" s="544"/>
      <c r="AS36" s="60"/>
    </row>
    <row r="37" spans="2:45" ht="30" customHeight="1" thickBot="1" x14ac:dyDescent="0.25">
      <c r="B37" s="815"/>
      <c r="C37" s="556"/>
      <c r="D37" s="557"/>
      <c r="E37" s="557"/>
      <c r="F37" s="557"/>
      <c r="G37" s="557"/>
      <c r="H37" s="557"/>
      <c r="I37" s="557"/>
      <c r="J37" s="557"/>
      <c r="K37" s="558">
        <v>1000</v>
      </c>
      <c r="L37" s="559">
        <v>1000</v>
      </c>
      <c r="M37" s="557"/>
      <c r="N37" s="557"/>
      <c r="O37" s="560"/>
      <c r="P37" s="557"/>
      <c r="Q37" s="557"/>
      <c r="R37" s="557"/>
      <c r="S37" s="561"/>
      <c r="T37" s="557"/>
      <c r="U37" s="562"/>
      <c r="V37" s="545"/>
      <c r="AS37" s="60"/>
    </row>
    <row r="38" spans="2:45" ht="30" customHeight="1" x14ac:dyDescent="0.2">
      <c r="B38" s="790"/>
      <c r="C38" s="109" t="s">
        <v>105</v>
      </c>
      <c r="D38" s="110" t="s">
        <v>106</v>
      </c>
      <c r="E38" s="110" t="s">
        <v>96</v>
      </c>
      <c r="F38" s="110">
        <v>27129360</v>
      </c>
      <c r="G38" s="110" t="s">
        <v>107</v>
      </c>
      <c r="H38" s="110">
        <v>1393</v>
      </c>
      <c r="I38" s="259">
        <v>43228</v>
      </c>
      <c r="J38" s="110">
        <v>1</v>
      </c>
      <c r="K38" s="260">
        <v>2000</v>
      </c>
      <c r="L38" s="110">
        <v>2000</v>
      </c>
      <c r="M38" s="252">
        <v>6.0000000000000001E-3</v>
      </c>
      <c r="N38" s="110">
        <v>8.9999999999999993E-3</v>
      </c>
      <c r="O38" s="301">
        <f t="shared" si="0"/>
        <v>1.000006</v>
      </c>
      <c r="P38" s="111">
        <f t="shared" ref="P38:P69" si="6">J38+(N38)/1000</f>
        <v>1.0000089999999999</v>
      </c>
      <c r="Q38" s="252">
        <f t="shared" ref="Q38:Q69" si="7">(P38-O38)/SQRT(3)*1000</f>
        <v>1.732050807554585E-3</v>
      </c>
      <c r="R38" s="118">
        <v>0.01</v>
      </c>
      <c r="S38" s="113">
        <f>(0.34848*((751.2+755.4)/2)-0.009024*((48.4+57.9)/2)*EXP(0.0612*((19.5+20.7)/2)))/(273.15+((19.5+20.7)/2))</f>
        <v>0.88957844095478944</v>
      </c>
      <c r="T38" s="110" t="s">
        <v>108</v>
      </c>
      <c r="U38" s="539" t="s">
        <v>188</v>
      </c>
      <c r="V38" s="1064">
        <v>2</v>
      </c>
      <c r="AS38" s="60"/>
    </row>
    <row r="39" spans="2:45" ht="30" customHeight="1" x14ac:dyDescent="0.2">
      <c r="B39" s="789"/>
      <c r="C39" s="114" t="s">
        <v>109</v>
      </c>
      <c r="D39" s="103" t="s">
        <v>106</v>
      </c>
      <c r="E39" s="103" t="s">
        <v>96</v>
      </c>
      <c r="F39" s="103">
        <v>27129360</v>
      </c>
      <c r="G39" s="103" t="s">
        <v>110</v>
      </c>
      <c r="H39" s="103">
        <v>1393</v>
      </c>
      <c r="I39" s="255">
        <v>43228</v>
      </c>
      <c r="J39" s="103">
        <v>2</v>
      </c>
      <c r="K39" s="256">
        <v>4000</v>
      </c>
      <c r="L39" s="103">
        <v>5000</v>
      </c>
      <c r="M39" s="254">
        <v>6.0000000000000001E-3</v>
      </c>
      <c r="N39" s="120">
        <v>0.01</v>
      </c>
      <c r="O39" s="548">
        <f t="shared" si="0"/>
        <v>2.000006</v>
      </c>
      <c r="P39" s="119">
        <f t="shared" si="6"/>
        <v>2.0000100000000001</v>
      </c>
      <c r="Q39" s="254">
        <f t="shared" si="7"/>
        <v>2.3094010768249114E-3</v>
      </c>
      <c r="R39" s="103">
        <v>1.2E-2</v>
      </c>
      <c r="S39" s="104">
        <f>(0.34848*((751.2+755.4)/2)-0.009024*((48.4+57.9)/2)*EXP(0.0612*((19.5+20.7)/2)))/(273.15+((19.5+20.7)/2))</f>
        <v>0.88957844095478944</v>
      </c>
      <c r="T39" s="103" t="str">
        <f t="shared" ref="T39:T54" si="8">T38</f>
        <v>M-001</v>
      </c>
      <c r="U39" s="540" t="s">
        <v>188</v>
      </c>
      <c r="V39" s="1065"/>
      <c r="AS39" s="60"/>
    </row>
    <row r="40" spans="2:45" ht="30" customHeight="1" x14ac:dyDescent="0.2">
      <c r="B40" s="789"/>
      <c r="C40" s="114" t="s">
        <v>254</v>
      </c>
      <c r="D40" s="103" t="s">
        <v>106</v>
      </c>
      <c r="E40" s="103" t="s">
        <v>96</v>
      </c>
      <c r="F40" s="103">
        <v>27129360</v>
      </c>
      <c r="G40" s="103" t="s">
        <v>111</v>
      </c>
      <c r="H40" s="103">
        <v>1393</v>
      </c>
      <c r="I40" s="255">
        <v>43228</v>
      </c>
      <c r="J40" s="103">
        <v>2</v>
      </c>
      <c r="K40" s="256">
        <v>5000</v>
      </c>
      <c r="L40" s="103">
        <v>6000</v>
      </c>
      <c r="M40" s="254">
        <v>1.2999999999999999E-2</v>
      </c>
      <c r="N40" s="103">
        <v>1.7000000000000001E-2</v>
      </c>
      <c r="O40" s="548">
        <f t="shared" si="0"/>
        <v>2.000013</v>
      </c>
      <c r="P40" s="119">
        <f t="shared" si="6"/>
        <v>2.0000170000000002</v>
      </c>
      <c r="Q40" s="254">
        <f t="shared" si="7"/>
        <v>2.3094010768249114E-3</v>
      </c>
      <c r="R40" s="103">
        <v>1.2E-2</v>
      </c>
      <c r="S40" s="104">
        <f>(0.34848*((751.2+755.4)/2)-0.009024*((48.4+57.9)/2)*EXP(0.0612*((19.5+20.7)/2)))/(273.15+((19.5+20.7)/2))</f>
        <v>0.88957844095478944</v>
      </c>
      <c r="T40" s="103" t="str">
        <f t="shared" si="8"/>
        <v>M-001</v>
      </c>
      <c r="U40" s="540" t="s">
        <v>188</v>
      </c>
      <c r="V40" s="1065"/>
      <c r="AS40" s="60"/>
    </row>
    <row r="41" spans="2:45" ht="30" customHeight="1" x14ac:dyDescent="0.2">
      <c r="B41" s="789"/>
      <c r="C41" s="114" t="s">
        <v>112</v>
      </c>
      <c r="D41" s="103" t="s">
        <v>106</v>
      </c>
      <c r="E41" s="103" t="s">
        <v>96</v>
      </c>
      <c r="F41" s="103">
        <v>27129360</v>
      </c>
      <c r="G41" s="103" t="s">
        <v>113</v>
      </c>
      <c r="H41" s="103">
        <v>1393</v>
      </c>
      <c r="I41" s="255">
        <v>43228</v>
      </c>
      <c r="J41" s="103">
        <v>5</v>
      </c>
      <c r="K41" s="256">
        <v>10000</v>
      </c>
      <c r="L41" s="103">
        <v>8000</v>
      </c>
      <c r="M41" s="254">
        <v>-2E-3</v>
      </c>
      <c r="N41" s="120">
        <v>2E-3</v>
      </c>
      <c r="O41" s="548">
        <f t="shared" si="0"/>
        <v>4.9999979999999997</v>
      </c>
      <c r="P41" s="119">
        <f t="shared" si="6"/>
        <v>5.0000020000000003</v>
      </c>
      <c r="Q41" s="254">
        <f t="shared" si="7"/>
        <v>2.3094010770813066E-3</v>
      </c>
      <c r="R41" s="103">
        <v>1.6E-2</v>
      </c>
      <c r="S41" s="104">
        <f>(0.34848*((751.2+755.4)/2)-0.009024*((48.4+57.9)/2)*EXP(0.0612*((19.5+20.7)/2)))/(273.15+((19.5+20.7)/2))</f>
        <v>0.88957844095478944</v>
      </c>
      <c r="T41" s="103" t="str">
        <f t="shared" si="8"/>
        <v>M-001</v>
      </c>
      <c r="U41" s="540" t="s">
        <v>188</v>
      </c>
      <c r="V41" s="1065"/>
      <c r="AS41" s="60"/>
    </row>
    <row r="42" spans="2:45" ht="30" customHeight="1" x14ac:dyDescent="0.2">
      <c r="B42" s="789"/>
      <c r="C42" s="114" t="s">
        <v>114</v>
      </c>
      <c r="D42" s="103" t="s">
        <v>106</v>
      </c>
      <c r="E42" s="103" t="s">
        <v>96</v>
      </c>
      <c r="F42" s="103">
        <v>27129360</v>
      </c>
      <c r="G42" s="103" t="s">
        <v>115</v>
      </c>
      <c r="H42" s="103">
        <v>1393</v>
      </c>
      <c r="I42" s="255">
        <v>43228</v>
      </c>
      <c r="J42" s="103">
        <v>10</v>
      </c>
      <c r="K42" s="256">
        <v>15000</v>
      </c>
      <c r="L42" s="103">
        <v>8200</v>
      </c>
      <c r="M42" s="254">
        <v>4.0000000000000001E-3</v>
      </c>
      <c r="N42" s="103">
        <v>1.9E-2</v>
      </c>
      <c r="O42" s="548">
        <f t="shared" si="0"/>
        <v>10.000004000000001</v>
      </c>
      <c r="P42" s="119">
        <f t="shared" si="6"/>
        <v>10.000019</v>
      </c>
      <c r="Q42" s="254">
        <f t="shared" si="7"/>
        <v>8.660254037516529E-3</v>
      </c>
      <c r="R42" s="120">
        <v>0.02</v>
      </c>
      <c r="S42" s="104">
        <f t="shared" ref="S42:S54" si="9">(0.34848*((751.2+755.4)/2)-0.009024*((48.4+57.9)/2)*EXP(0.0612*((19.5+20.7)/2)))/(273.15+((19.5+20.7)/2))</f>
        <v>0.88957844095478944</v>
      </c>
      <c r="T42" s="103" t="str">
        <f t="shared" si="8"/>
        <v>M-001</v>
      </c>
      <c r="U42" s="540" t="s">
        <v>188</v>
      </c>
      <c r="V42" s="1065"/>
      <c r="AS42" s="60"/>
    </row>
    <row r="43" spans="2:45" ht="30" customHeight="1" x14ac:dyDescent="0.2">
      <c r="B43" s="789"/>
      <c r="C43" s="114" t="s">
        <v>116</v>
      </c>
      <c r="D43" s="103" t="s">
        <v>106</v>
      </c>
      <c r="E43" s="103" t="s">
        <v>96</v>
      </c>
      <c r="F43" s="103">
        <v>27129360</v>
      </c>
      <c r="G43" s="103" t="s">
        <v>117</v>
      </c>
      <c r="H43" s="103">
        <v>1393</v>
      </c>
      <c r="I43" s="255">
        <v>43228</v>
      </c>
      <c r="J43" s="103">
        <v>20</v>
      </c>
      <c r="K43" s="256">
        <v>20000</v>
      </c>
      <c r="L43" s="103">
        <v>10000</v>
      </c>
      <c r="M43" s="254">
        <v>2.7E-2</v>
      </c>
      <c r="N43" s="103">
        <v>2.5999999999999999E-2</v>
      </c>
      <c r="O43" s="548">
        <f t="shared" si="0"/>
        <v>20.000026999999999</v>
      </c>
      <c r="P43" s="119">
        <f t="shared" si="6"/>
        <v>20.000025999999998</v>
      </c>
      <c r="Q43" s="254">
        <f t="shared" si="7"/>
        <v>-5.7735026978311666E-4</v>
      </c>
      <c r="R43" s="103">
        <v>2.5000000000000001E-2</v>
      </c>
      <c r="S43" s="104">
        <f t="shared" si="9"/>
        <v>0.88957844095478944</v>
      </c>
      <c r="T43" s="103" t="str">
        <f t="shared" si="8"/>
        <v>M-001</v>
      </c>
      <c r="U43" s="540" t="s">
        <v>188</v>
      </c>
      <c r="V43" s="1065"/>
      <c r="AS43" s="60"/>
    </row>
    <row r="44" spans="2:45" ht="30" customHeight="1" x14ac:dyDescent="0.2">
      <c r="B44" s="789"/>
      <c r="C44" s="114" t="s">
        <v>255</v>
      </c>
      <c r="D44" s="103" t="s">
        <v>106</v>
      </c>
      <c r="E44" s="103" t="s">
        <v>96</v>
      </c>
      <c r="F44" s="103">
        <v>27129360</v>
      </c>
      <c r="G44" s="103" t="s">
        <v>118</v>
      </c>
      <c r="H44" s="103">
        <v>1393</v>
      </c>
      <c r="I44" s="255">
        <v>43228</v>
      </c>
      <c r="J44" s="103">
        <v>20</v>
      </c>
      <c r="K44" s="256">
        <v>25000</v>
      </c>
      <c r="L44" s="103">
        <v>15000</v>
      </c>
      <c r="M44" s="254">
        <v>7.0000000000000001E-3</v>
      </c>
      <c r="N44" s="103">
        <v>7.0000000000000001E-3</v>
      </c>
      <c r="O44" s="548">
        <f t="shared" si="0"/>
        <v>20.000007</v>
      </c>
      <c r="P44" s="119">
        <f t="shared" si="6"/>
        <v>20.000007</v>
      </c>
      <c r="Q44" s="254">
        <f t="shared" si="7"/>
        <v>0</v>
      </c>
      <c r="R44" s="103">
        <v>2.5000000000000001E-2</v>
      </c>
      <c r="S44" s="104">
        <f t="shared" si="9"/>
        <v>0.88957844095478944</v>
      </c>
      <c r="T44" s="103" t="str">
        <f t="shared" si="8"/>
        <v>M-001</v>
      </c>
      <c r="U44" s="540" t="s">
        <v>188</v>
      </c>
      <c r="V44" s="1065"/>
      <c r="AS44" s="60"/>
    </row>
    <row r="45" spans="2:45" ht="30" customHeight="1" x14ac:dyDescent="0.2">
      <c r="B45" s="789"/>
      <c r="C45" s="114" t="s">
        <v>119</v>
      </c>
      <c r="D45" s="103" t="s">
        <v>106</v>
      </c>
      <c r="E45" s="103" t="s">
        <v>96</v>
      </c>
      <c r="F45" s="103">
        <v>27129360</v>
      </c>
      <c r="G45" s="103" t="s">
        <v>120</v>
      </c>
      <c r="H45" s="103">
        <v>1393</v>
      </c>
      <c r="I45" s="255">
        <v>43228</v>
      </c>
      <c r="J45" s="103">
        <v>50</v>
      </c>
      <c r="K45" s="256">
        <v>30000</v>
      </c>
      <c r="L45" s="103">
        <v>20000</v>
      </c>
      <c r="M45" s="254">
        <v>0.03</v>
      </c>
      <c r="N45" s="103">
        <v>0.03</v>
      </c>
      <c r="O45" s="548">
        <f t="shared" si="0"/>
        <v>50.000030000000002</v>
      </c>
      <c r="P45" s="115">
        <f t="shared" si="6"/>
        <v>50.000030000000002</v>
      </c>
      <c r="Q45" s="254">
        <f t="shared" si="7"/>
        <v>0</v>
      </c>
      <c r="R45" s="103">
        <v>0.03</v>
      </c>
      <c r="S45" s="104">
        <f t="shared" si="9"/>
        <v>0.88957844095478944</v>
      </c>
      <c r="T45" s="103" t="str">
        <f t="shared" si="8"/>
        <v>M-001</v>
      </c>
      <c r="U45" s="540" t="s">
        <v>188</v>
      </c>
      <c r="V45" s="1065"/>
      <c r="AS45" s="60"/>
    </row>
    <row r="46" spans="2:45" ht="30" customHeight="1" x14ac:dyDescent="0.2">
      <c r="B46" s="789"/>
      <c r="C46" s="114" t="s">
        <v>121</v>
      </c>
      <c r="D46" s="103" t="s">
        <v>106</v>
      </c>
      <c r="E46" s="103" t="s">
        <v>96</v>
      </c>
      <c r="F46" s="103">
        <v>27129360</v>
      </c>
      <c r="G46" s="103" t="s">
        <v>122</v>
      </c>
      <c r="H46" s="103">
        <v>1393</v>
      </c>
      <c r="I46" s="255">
        <v>43228</v>
      </c>
      <c r="J46" s="103">
        <v>100</v>
      </c>
      <c r="K46" s="256">
        <v>35000</v>
      </c>
      <c r="L46" s="257">
        <v>25000</v>
      </c>
      <c r="M46" s="254">
        <v>0.06</v>
      </c>
      <c r="N46" s="103">
        <v>0.06</v>
      </c>
      <c r="O46" s="548">
        <f t="shared" si="0"/>
        <v>100.00006</v>
      </c>
      <c r="P46" s="115">
        <f t="shared" si="6"/>
        <v>100.00006</v>
      </c>
      <c r="Q46" s="254">
        <f t="shared" si="7"/>
        <v>0</v>
      </c>
      <c r="R46" s="103">
        <v>0.05</v>
      </c>
      <c r="S46" s="104">
        <f t="shared" si="9"/>
        <v>0.88957844095478944</v>
      </c>
      <c r="T46" s="103" t="str">
        <f t="shared" si="8"/>
        <v>M-001</v>
      </c>
      <c r="U46" s="540" t="s">
        <v>188</v>
      </c>
      <c r="V46" s="1065"/>
      <c r="AS46" s="60"/>
    </row>
    <row r="47" spans="2:45" ht="30" customHeight="1" x14ac:dyDescent="0.2">
      <c r="B47" s="789"/>
      <c r="C47" s="114" t="s">
        <v>123</v>
      </c>
      <c r="D47" s="103" t="s">
        <v>106</v>
      </c>
      <c r="E47" s="103" t="s">
        <v>96</v>
      </c>
      <c r="F47" s="103">
        <v>27129360</v>
      </c>
      <c r="G47" s="103" t="s">
        <v>124</v>
      </c>
      <c r="H47" s="103">
        <v>1393</v>
      </c>
      <c r="I47" s="255">
        <v>43228</v>
      </c>
      <c r="J47" s="103">
        <v>200</v>
      </c>
      <c r="K47" s="256">
        <v>40000</v>
      </c>
      <c r="L47" s="257">
        <v>35000</v>
      </c>
      <c r="M47" s="254">
        <v>-0.06</v>
      </c>
      <c r="N47" s="103">
        <v>-7.0000000000000007E-2</v>
      </c>
      <c r="O47" s="548">
        <f t="shared" si="0"/>
        <v>199.99994000000001</v>
      </c>
      <c r="P47" s="115">
        <f t="shared" si="6"/>
        <v>199.99993000000001</v>
      </c>
      <c r="Q47" s="254">
        <f t="shared" si="7"/>
        <v>-5.7735026937288467E-3</v>
      </c>
      <c r="R47" s="106">
        <v>0.1</v>
      </c>
      <c r="S47" s="104">
        <f t="shared" si="9"/>
        <v>0.88957844095478944</v>
      </c>
      <c r="T47" s="103" t="str">
        <f t="shared" si="8"/>
        <v>M-001</v>
      </c>
      <c r="U47" s="540" t="s">
        <v>188</v>
      </c>
      <c r="V47" s="1065"/>
      <c r="AS47" s="60"/>
    </row>
    <row r="48" spans="2:45" ht="30" customHeight="1" x14ac:dyDescent="0.2">
      <c r="B48" s="789"/>
      <c r="C48" s="114" t="s">
        <v>256</v>
      </c>
      <c r="D48" s="103" t="s">
        <v>106</v>
      </c>
      <c r="E48" s="103" t="s">
        <v>96</v>
      </c>
      <c r="F48" s="103">
        <v>27129360</v>
      </c>
      <c r="G48" s="103" t="s">
        <v>125</v>
      </c>
      <c r="H48" s="103">
        <v>1393</v>
      </c>
      <c r="I48" s="255">
        <v>43228</v>
      </c>
      <c r="J48" s="103">
        <v>200</v>
      </c>
      <c r="K48" s="256" t="s">
        <v>435</v>
      </c>
      <c r="L48" s="257">
        <v>40000</v>
      </c>
      <c r="M48" s="254">
        <v>0.16</v>
      </c>
      <c r="N48" s="103">
        <v>0.15</v>
      </c>
      <c r="O48" s="548">
        <f t="shared" si="0"/>
        <v>200.00015999999999</v>
      </c>
      <c r="P48" s="115">
        <f t="shared" si="6"/>
        <v>200.00014999999999</v>
      </c>
      <c r="Q48" s="254">
        <f t="shared" si="7"/>
        <v>-5.7735026937288467E-3</v>
      </c>
      <c r="R48" s="106">
        <v>0.1</v>
      </c>
      <c r="S48" s="104">
        <f t="shared" si="9"/>
        <v>0.88957844095478944</v>
      </c>
      <c r="T48" s="103" t="str">
        <f t="shared" si="8"/>
        <v>M-001</v>
      </c>
      <c r="U48" s="540" t="s">
        <v>188</v>
      </c>
      <c r="V48" s="1065"/>
      <c r="AS48" s="60"/>
    </row>
    <row r="49" spans="2:48" ht="30" customHeight="1" x14ac:dyDescent="0.2">
      <c r="B49" s="789"/>
      <c r="C49" s="114" t="s">
        <v>126</v>
      </c>
      <c r="D49" s="103" t="s">
        <v>106</v>
      </c>
      <c r="E49" s="103" t="s">
        <v>96</v>
      </c>
      <c r="F49" s="103">
        <v>27129360</v>
      </c>
      <c r="G49" s="103" t="s">
        <v>127</v>
      </c>
      <c r="H49" s="103">
        <v>1393</v>
      </c>
      <c r="I49" s="255">
        <v>43228</v>
      </c>
      <c r="J49" s="103">
        <v>500</v>
      </c>
      <c r="K49" s="256" t="s">
        <v>435</v>
      </c>
      <c r="L49" s="257">
        <v>45000</v>
      </c>
      <c r="M49" s="254">
        <v>0.35</v>
      </c>
      <c r="N49" s="103">
        <v>0.33</v>
      </c>
      <c r="O49" s="548">
        <f t="shared" si="0"/>
        <v>500.00035000000003</v>
      </c>
      <c r="P49" s="115">
        <f t="shared" si="6"/>
        <v>500.00033000000002</v>
      </c>
      <c r="Q49" s="254">
        <f t="shared" si="7"/>
        <v>-1.1547005387457693E-2</v>
      </c>
      <c r="R49" s="103">
        <v>0.25</v>
      </c>
      <c r="S49" s="104">
        <f t="shared" si="9"/>
        <v>0.88957844095478944</v>
      </c>
      <c r="T49" s="103" t="str">
        <f t="shared" si="8"/>
        <v>M-001</v>
      </c>
      <c r="U49" s="540" t="s">
        <v>188</v>
      </c>
      <c r="V49" s="1065"/>
      <c r="AS49" s="60"/>
    </row>
    <row r="50" spans="2:48" ht="30" customHeight="1" x14ac:dyDescent="0.2">
      <c r="B50" s="789"/>
      <c r="C50" s="114" t="s">
        <v>128</v>
      </c>
      <c r="D50" s="103" t="s">
        <v>106</v>
      </c>
      <c r="E50" s="103" t="s">
        <v>96</v>
      </c>
      <c r="F50" s="103">
        <v>27129360</v>
      </c>
      <c r="G50" s="103" t="s">
        <v>129</v>
      </c>
      <c r="H50" s="103">
        <v>1393</v>
      </c>
      <c r="I50" s="255">
        <v>43228</v>
      </c>
      <c r="J50" s="256">
        <v>1000</v>
      </c>
      <c r="K50" s="256" t="s">
        <v>435</v>
      </c>
      <c r="L50" s="257">
        <v>50000</v>
      </c>
      <c r="M50" s="254">
        <v>0.7</v>
      </c>
      <c r="N50" s="103">
        <v>0.7</v>
      </c>
      <c r="O50" s="548">
        <f t="shared" si="0"/>
        <v>1000.0007000000001</v>
      </c>
      <c r="P50" s="104">
        <f t="shared" si="6"/>
        <v>1000.0007000000001</v>
      </c>
      <c r="Q50" s="254">
        <f t="shared" si="7"/>
        <v>0</v>
      </c>
      <c r="R50" s="103">
        <v>0.5</v>
      </c>
      <c r="S50" s="104">
        <f t="shared" si="9"/>
        <v>0.88957844095478944</v>
      </c>
      <c r="T50" s="103" t="str">
        <f t="shared" si="8"/>
        <v>M-001</v>
      </c>
      <c r="U50" s="540" t="s">
        <v>188</v>
      </c>
      <c r="V50" s="1065"/>
      <c r="AS50" s="60"/>
    </row>
    <row r="51" spans="2:48" ht="30" customHeight="1" x14ac:dyDescent="0.2">
      <c r="B51" s="789"/>
      <c r="C51" s="114" t="s">
        <v>130</v>
      </c>
      <c r="D51" s="103" t="s">
        <v>106</v>
      </c>
      <c r="E51" s="103" t="s">
        <v>96</v>
      </c>
      <c r="F51" s="103">
        <v>27129360</v>
      </c>
      <c r="G51" s="103" t="s">
        <v>131</v>
      </c>
      <c r="H51" s="103">
        <v>1393</v>
      </c>
      <c r="I51" s="255">
        <v>43228</v>
      </c>
      <c r="J51" s="256">
        <v>2000</v>
      </c>
      <c r="K51" s="256" t="s">
        <v>435</v>
      </c>
      <c r="L51" s="257">
        <v>55000</v>
      </c>
      <c r="M51" s="254">
        <v>1.2</v>
      </c>
      <c r="N51" s="103">
        <v>1.1000000000000001</v>
      </c>
      <c r="O51" s="548">
        <f t="shared" si="0"/>
        <v>2000.0011999999999</v>
      </c>
      <c r="P51" s="104">
        <f t="shared" si="6"/>
        <v>2000.0011</v>
      </c>
      <c r="Q51" s="254">
        <f t="shared" si="7"/>
        <v>-5.7735026904469904E-2</v>
      </c>
      <c r="R51" s="105">
        <v>1</v>
      </c>
      <c r="S51" s="104">
        <f t="shared" si="9"/>
        <v>0.88957844095478944</v>
      </c>
      <c r="T51" s="103" t="str">
        <f t="shared" si="8"/>
        <v>M-001</v>
      </c>
      <c r="U51" s="540" t="s">
        <v>188</v>
      </c>
      <c r="V51" s="1065"/>
      <c r="AS51" s="60"/>
    </row>
    <row r="52" spans="2:48" ht="30" customHeight="1" x14ac:dyDescent="0.2">
      <c r="B52" s="789"/>
      <c r="C52" s="114" t="s">
        <v>257</v>
      </c>
      <c r="D52" s="103" t="s">
        <v>106</v>
      </c>
      <c r="E52" s="103" t="s">
        <v>96</v>
      </c>
      <c r="F52" s="103">
        <v>27129360</v>
      </c>
      <c r="G52" s="103" t="s">
        <v>132</v>
      </c>
      <c r="H52" s="103">
        <v>1393</v>
      </c>
      <c r="I52" s="255">
        <v>43228</v>
      </c>
      <c r="J52" s="256">
        <v>2000</v>
      </c>
      <c r="K52" s="256" t="s">
        <v>435</v>
      </c>
      <c r="L52" s="257">
        <v>60000</v>
      </c>
      <c r="M52" s="254">
        <v>1.1000000000000001</v>
      </c>
      <c r="N52" s="105">
        <v>1</v>
      </c>
      <c r="O52" s="548">
        <f t="shared" si="0"/>
        <v>2000.0011</v>
      </c>
      <c r="P52" s="104">
        <f t="shared" si="6"/>
        <v>2000.001</v>
      </c>
      <c r="Q52" s="254">
        <f t="shared" si="7"/>
        <v>-5.7735026904469904E-2</v>
      </c>
      <c r="R52" s="105">
        <v>1</v>
      </c>
      <c r="S52" s="104">
        <f t="shared" si="9"/>
        <v>0.88957844095478944</v>
      </c>
      <c r="T52" s="103" t="str">
        <f t="shared" si="8"/>
        <v>M-001</v>
      </c>
      <c r="U52" s="540" t="s">
        <v>188</v>
      </c>
      <c r="V52" s="1065"/>
      <c r="AS52" s="60"/>
    </row>
    <row r="53" spans="2:48" ht="30" customHeight="1" x14ac:dyDescent="0.2">
      <c r="B53" s="789"/>
      <c r="C53" s="114" t="s">
        <v>133</v>
      </c>
      <c r="D53" s="103" t="s">
        <v>106</v>
      </c>
      <c r="E53" s="103" t="s">
        <v>96</v>
      </c>
      <c r="F53" s="103">
        <v>27129360</v>
      </c>
      <c r="G53" s="103" t="s">
        <v>134</v>
      </c>
      <c r="H53" s="103">
        <v>1393</v>
      </c>
      <c r="I53" s="255">
        <v>43228</v>
      </c>
      <c r="J53" s="256">
        <v>5000</v>
      </c>
      <c r="K53" s="256" t="s">
        <v>435</v>
      </c>
      <c r="L53" s="256" t="s">
        <v>435</v>
      </c>
      <c r="M53" s="254">
        <v>3.7</v>
      </c>
      <c r="N53" s="103">
        <v>3.5</v>
      </c>
      <c r="O53" s="548">
        <f t="shared" si="0"/>
        <v>5000.0037000000002</v>
      </c>
      <c r="P53" s="104">
        <f t="shared" si="6"/>
        <v>5000.0034999999998</v>
      </c>
      <c r="Q53" s="254">
        <f t="shared" si="7"/>
        <v>-0.11547005407148832</v>
      </c>
      <c r="R53" s="103">
        <v>2.5</v>
      </c>
      <c r="S53" s="104">
        <f t="shared" si="9"/>
        <v>0.88957844095478944</v>
      </c>
      <c r="T53" s="103" t="str">
        <f t="shared" si="8"/>
        <v>M-001</v>
      </c>
      <c r="U53" s="540" t="s">
        <v>188</v>
      </c>
      <c r="V53" s="1065"/>
      <c r="AS53" s="60"/>
    </row>
    <row r="54" spans="2:48" ht="30" customHeight="1" thickBot="1" x14ac:dyDescent="0.25">
      <c r="B54" s="791"/>
      <c r="C54" s="116" t="s">
        <v>135</v>
      </c>
      <c r="D54" s="107" t="s">
        <v>106</v>
      </c>
      <c r="E54" s="107" t="s">
        <v>96</v>
      </c>
      <c r="F54" s="107">
        <v>27129360</v>
      </c>
      <c r="G54" s="107" t="s">
        <v>136</v>
      </c>
      <c r="H54" s="107">
        <v>1393</v>
      </c>
      <c r="I54" s="258">
        <v>43228</v>
      </c>
      <c r="J54" s="261">
        <v>10000</v>
      </c>
      <c r="K54" s="261" t="s">
        <v>435</v>
      </c>
      <c r="L54" s="261" t="s">
        <v>435</v>
      </c>
      <c r="M54" s="288">
        <v>8.6999999999999993</v>
      </c>
      <c r="N54" s="107">
        <v>8.1999999999999993</v>
      </c>
      <c r="O54" s="563">
        <f t="shared" si="0"/>
        <v>10000.0087</v>
      </c>
      <c r="P54" s="108">
        <f t="shared" si="6"/>
        <v>10000.0082</v>
      </c>
      <c r="Q54" s="288">
        <f t="shared" si="7"/>
        <v>-0.28867513465362377</v>
      </c>
      <c r="R54" s="117">
        <v>5</v>
      </c>
      <c r="S54" s="108">
        <f t="shared" si="9"/>
        <v>0.88957844095478944</v>
      </c>
      <c r="T54" s="107" t="str">
        <f t="shared" si="8"/>
        <v>M-001</v>
      </c>
      <c r="U54" s="541" t="s">
        <v>188</v>
      </c>
      <c r="V54" s="1065"/>
      <c r="AS54" s="60"/>
    </row>
    <row r="55" spans="2:48" ht="30" customHeight="1" x14ac:dyDescent="0.2">
      <c r="B55" s="789"/>
      <c r="C55" s="109" t="s">
        <v>137</v>
      </c>
      <c r="D55" s="110" t="s">
        <v>138</v>
      </c>
      <c r="E55" s="110" t="s">
        <v>189</v>
      </c>
      <c r="F55" s="110">
        <v>11119515</v>
      </c>
      <c r="G55" s="110">
        <v>1</v>
      </c>
      <c r="H55" s="110">
        <v>1405</v>
      </c>
      <c r="I55" s="259">
        <v>43252</v>
      </c>
      <c r="J55" s="260">
        <v>1</v>
      </c>
      <c r="K55" s="260" t="s">
        <v>435</v>
      </c>
      <c r="L55" s="260" t="s">
        <v>435</v>
      </c>
      <c r="M55" s="252">
        <v>0.04</v>
      </c>
      <c r="N55" s="110">
        <v>0.04</v>
      </c>
      <c r="O55" s="252">
        <f t="shared" si="0"/>
        <v>1.00004</v>
      </c>
      <c r="P55" s="121">
        <f t="shared" si="6"/>
        <v>1.00004</v>
      </c>
      <c r="Q55" s="252">
        <f t="shared" si="7"/>
        <v>0</v>
      </c>
      <c r="R55" s="110">
        <v>0.03</v>
      </c>
      <c r="S55" s="113">
        <f>(0.34848*((750.7+754.5)/2)-0.009024*((52.2+58.7)/2)*EXP(0.0612*((20+20.6)/2)))/(273.15+((20+20.6)/2))</f>
        <v>0.88782702273489045</v>
      </c>
      <c r="T55" s="110" t="s">
        <v>139</v>
      </c>
      <c r="U55" s="539" t="s">
        <v>188</v>
      </c>
      <c r="V55" s="1061">
        <v>2</v>
      </c>
      <c r="AS55" s="60"/>
      <c r="AT55" s="55"/>
      <c r="AU55" s="55"/>
    </row>
    <row r="56" spans="2:48" ht="30" customHeight="1" x14ac:dyDescent="0.2">
      <c r="B56" s="789"/>
      <c r="C56" s="114" t="s">
        <v>140</v>
      </c>
      <c r="D56" s="103" t="s">
        <v>138</v>
      </c>
      <c r="E56" s="103" t="s">
        <v>189</v>
      </c>
      <c r="F56" s="103">
        <v>11119515</v>
      </c>
      <c r="G56" s="103" t="s">
        <v>142</v>
      </c>
      <c r="H56" s="103">
        <v>1405</v>
      </c>
      <c r="I56" s="255">
        <v>43252</v>
      </c>
      <c r="J56" s="256">
        <v>2</v>
      </c>
      <c r="K56" s="256" t="s">
        <v>435</v>
      </c>
      <c r="L56" s="256" t="s">
        <v>435</v>
      </c>
      <c r="M56" s="254">
        <v>0.06</v>
      </c>
      <c r="N56" s="103">
        <v>0.04</v>
      </c>
      <c r="O56" s="254">
        <f t="shared" si="0"/>
        <v>2.0000599999999999</v>
      </c>
      <c r="P56" s="115">
        <f t="shared" si="6"/>
        <v>2.0000399999999998</v>
      </c>
      <c r="Q56" s="254">
        <f t="shared" si="7"/>
        <v>-1.1547005383868162E-2</v>
      </c>
      <c r="R56" s="103">
        <v>0.04</v>
      </c>
      <c r="S56" s="104">
        <f>(0.34848*((750.7+754.5)/2)-0.009024*((52.2+58.7)/2)*EXP(0.0612*((20+20.6)/2)))/(273.15+((20+20.6)/2))</f>
        <v>0.88782702273489045</v>
      </c>
      <c r="T56" s="103" t="str">
        <f t="shared" ref="T56:T70" si="10">T55</f>
        <v>M-002</v>
      </c>
      <c r="U56" s="540" t="s">
        <v>188</v>
      </c>
      <c r="V56" s="1062"/>
      <c r="AS56" s="60"/>
      <c r="AT56" s="55"/>
      <c r="AU56" s="55"/>
    </row>
    <row r="57" spans="2:48" ht="30" customHeight="1" x14ac:dyDescent="0.2">
      <c r="B57" s="789"/>
      <c r="C57" s="114" t="s">
        <v>141</v>
      </c>
      <c r="D57" s="103" t="s">
        <v>138</v>
      </c>
      <c r="E57" s="103" t="s">
        <v>189</v>
      </c>
      <c r="F57" s="103">
        <v>11119515</v>
      </c>
      <c r="G57" s="103">
        <v>2</v>
      </c>
      <c r="H57" s="103">
        <v>1405</v>
      </c>
      <c r="I57" s="255">
        <v>43252</v>
      </c>
      <c r="J57" s="256">
        <v>2</v>
      </c>
      <c r="K57" s="256" t="s">
        <v>435</v>
      </c>
      <c r="L57" s="256" t="s">
        <v>435</v>
      </c>
      <c r="M57" s="254">
        <v>0.04</v>
      </c>
      <c r="N57" s="103">
        <v>0.06</v>
      </c>
      <c r="O57" s="254">
        <f t="shared" si="0"/>
        <v>2.0000399999999998</v>
      </c>
      <c r="P57" s="115">
        <f t="shared" si="6"/>
        <v>2.0000599999999999</v>
      </c>
      <c r="Q57" s="254">
        <f t="shared" si="7"/>
        <v>1.1547005383868162E-2</v>
      </c>
      <c r="R57" s="103">
        <v>0.04</v>
      </c>
      <c r="S57" s="104">
        <f t="shared" ref="S57:S70" si="11">(0.34848*((750.7+754.5)/2)-0.009024*((52.2+58.7)/2)*EXP(0.0612*((20+20.6)/2)))/(273.15+((20+20.6)/2))</f>
        <v>0.88782702273489045</v>
      </c>
      <c r="T57" s="103" t="str">
        <f t="shared" si="10"/>
        <v>M-002</v>
      </c>
      <c r="U57" s="540" t="s">
        <v>188</v>
      </c>
      <c r="V57" s="1062"/>
      <c r="AS57" s="60"/>
      <c r="AT57" s="55"/>
      <c r="AU57" s="55"/>
    </row>
    <row r="58" spans="2:48" ht="30" customHeight="1" x14ac:dyDescent="0.2">
      <c r="B58" s="789"/>
      <c r="C58" s="114" t="s">
        <v>143</v>
      </c>
      <c r="D58" s="103" t="s">
        <v>138</v>
      </c>
      <c r="E58" s="103" t="s">
        <v>189</v>
      </c>
      <c r="F58" s="103">
        <v>11119515</v>
      </c>
      <c r="G58" s="103">
        <v>5</v>
      </c>
      <c r="H58" s="103">
        <v>1405</v>
      </c>
      <c r="I58" s="255">
        <v>43252</v>
      </c>
      <c r="J58" s="103">
        <v>5</v>
      </c>
      <c r="K58" s="256" t="s">
        <v>435</v>
      </c>
      <c r="L58" s="256" t="s">
        <v>435</v>
      </c>
      <c r="M58" s="254">
        <v>0</v>
      </c>
      <c r="N58" s="106">
        <v>0.01</v>
      </c>
      <c r="O58" s="254">
        <f t="shared" si="0"/>
        <v>5</v>
      </c>
      <c r="P58" s="115">
        <f t="shared" si="6"/>
        <v>5.0000099999999996</v>
      </c>
      <c r="Q58" s="254">
        <f t="shared" si="7"/>
        <v>5.7735026916776863E-3</v>
      </c>
      <c r="R58" s="103">
        <v>0.05</v>
      </c>
      <c r="S58" s="104">
        <f t="shared" si="11"/>
        <v>0.88782702273489045</v>
      </c>
      <c r="T58" s="103" t="str">
        <f t="shared" si="10"/>
        <v>M-002</v>
      </c>
      <c r="U58" s="540" t="s">
        <v>188</v>
      </c>
      <c r="V58" s="1062"/>
      <c r="AS58" s="60"/>
      <c r="AT58" s="55"/>
      <c r="AU58" s="55"/>
    </row>
    <row r="59" spans="2:48" ht="30" customHeight="1" x14ac:dyDescent="0.2">
      <c r="B59" s="789"/>
      <c r="C59" s="114" t="s">
        <v>144</v>
      </c>
      <c r="D59" s="103" t="s">
        <v>138</v>
      </c>
      <c r="E59" s="103" t="s">
        <v>189</v>
      </c>
      <c r="F59" s="103">
        <v>11119515</v>
      </c>
      <c r="G59" s="103">
        <v>10</v>
      </c>
      <c r="H59" s="103">
        <v>1405</v>
      </c>
      <c r="I59" s="255">
        <v>43252</v>
      </c>
      <c r="J59" s="103">
        <v>10</v>
      </c>
      <c r="K59" s="256" t="s">
        <v>435</v>
      </c>
      <c r="L59" s="256" t="s">
        <v>435</v>
      </c>
      <c r="M59" s="254">
        <v>0.05</v>
      </c>
      <c r="N59" s="103">
        <v>7.0000000000000007E-2</v>
      </c>
      <c r="O59" s="254">
        <f t="shared" si="0"/>
        <v>10.00005</v>
      </c>
      <c r="P59" s="115">
        <f t="shared" si="6"/>
        <v>10.000069999999999</v>
      </c>
      <c r="Q59" s="254">
        <f t="shared" si="7"/>
        <v>1.1547005383355373E-2</v>
      </c>
      <c r="R59" s="103">
        <v>0.06</v>
      </c>
      <c r="S59" s="104">
        <f t="shared" si="11"/>
        <v>0.88782702273489045</v>
      </c>
      <c r="T59" s="103" t="str">
        <f t="shared" si="10"/>
        <v>M-002</v>
      </c>
      <c r="U59" s="540" t="s">
        <v>188</v>
      </c>
      <c r="V59" s="1062"/>
      <c r="AS59" s="60"/>
      <c r="AT59" s="55"/>
      <c r="AU59" s="55"/>
    </row>
    <row r="60" spans="2:48" ht="30" customHeight="1" x14ac:dyDescent="0.2">
      <c r="B60" s="789"/>
      <c r="C60" s="114" t="s">
        <v>146</v>
      </c>
      <c r="D60" s="103" t="s">
        <v>138</v>
      </c>
      <c r="E60" s="103" t="s">
        <v>189</v>
      </c>
      <c r="F60" s="103">
        <v>11119515</v>
      </c>
      <c r="G60" s="103" t="s">
        <v>148</v>
      </c>
      <c r="H60" s="103">
        <v>1405</v>
      </c>
      <c r="I60" s="255">
        <v>43252</v>
      </c>
      <c r="J60" s="103">
        <v>20</v>
      </c>
      <c r="K60" s="256" t="s">
        <v>435</v>
      </c>
      <c r="L60" s="256" t="s">
        <v>435</v>
      </c>
      <c r="M60" s="254">
        <v>7.0000000000000007E-2</v>
      </c>
      <c r="N60" s="103">
        <v>0.08</v>
      </c>
      <c r="O60" s="254">
        <f t="shared" si="0"/>
        <v>20.000070000000001</v>
      </c>
      <c r="P60" s="115">
        <f t="shared" si="6"/>
        <v>20.000080000000001</v>
      </c>
      <c r="Q60" s="254">
        <f t="shared" si="7"/>
        <v>5.7735026916776863E-3</v>
      </c>
      <c r="R60" s="103">
        <v>0.08</v>
      </c>
      <c r="S60" s="104">
        <f t="shared" si="11"/>
        <v>0.88782702273489045</v>
      </c>
      <c r="T60" s="103" t="str">
        <f t="shared" si="10"/>
        <v>M-002</v>
      </c>
      <c r="U60" s="540" t="s">
        <v>188</v>
      </c>
      <c r="V60" s="1062"/>
      <c r="AS60" s="60"/>
      <c r="AT60" s="55"/>
      <c r="AU60" s="55"/>
    </row>
    <row r="61" spans="2:48" ht="30" customHeight="1" x14ac:dyDescent="0.2">
      <c r="B61" s="789"/>
      <c r="C61" s="114" t="s">
        <v>147</v>
      </c>
      <c r="D61" s="103" t="s">
        <v>138</v>
      </c>
      <c r="E61" s="103" t="s">
        <v>189</v>
      </c>
      <c r="F61" s="103">
        <v>11119515</v>
      </c>
      <c r="G61" s="103">
        <v>20</v>
      </c>
      <c r="H61" s="103">
        <v>1405</v>
      </c>
      <c r="I61" s="255">
        <v>43252</v>
      </c>
      <c r="J61" s="103">
        <v>20</v>
      </c>
      <c r="K61" s="256" t="s">
        <v>435</v>
      </c>
      <c r="L61" s="256" t="s">
        <v>435</v>
      </c>
      <c r="M61" s="254">
        <v>0.08</v>
      </c>
      <c r="N61" s="103">
        <v>7.0000000000000007E-2</v>
      </c>
      <c r="O61" s="254">
        <f t="shared" si="0"/>
        <v>20.000080000000001</v>
      </c>
      <c r="P61" s="115">
        <f t="shared" si="6"/>
        <v>20.000070000000001</v>
      </c>
      <c r="Q61" s="254">
        <f t="shared" si="7"/>
        <v>-5.7735026916776863E-3</v>
      </c>
      <c r="R61" s="103">
        <v>0.08</v>
      </c>
      <c r="S61" s="104">
        <f t="shared" si="11"/>
        <v>0.88782702273489045</v>
      </c>
      <c r="T61" s="103" t="str">
        <f t="shared" si="10"/>
        <v>M-002</v>
      </c>
      <c r="U61" s="540" t="s">
        <v>188</v>
      </c>
      <c r="V61" s="1062"/>
      <c r="AS61" s="60"/>
      <c r="AT61" s="55"/>
      <c r="AU61" s="55"/>
    </row>
    <row r="62" spans="2:48" ht="30" customHeight="1" x14ac:dyDescent="0.2">
      <c r="B62" s="789"/>
      <c r="C62" s="114" t="s">
        <v>149</v>
      </c>
      <c r="D62" s="103" t="s">
        <v>138</v>
      </c>
      <c r="E62" s="103" t="s">
        <v>189</v>
      </c>
      <c r="F62" s="103">
        <v>11119515</v>
      </c>
      <c r="G62" s="103">
        <v>50</v>
      </c>
      <c r="H62" s="103">
        <v>1405</v>
      </c>
      <c r="I62" s="255">
        <v>43252</v>
      </c>
      <c r="J62" s="103">
        <v>50</v>
      </c>
      <c r="K62" s="256" t="s">
        <v>435</v>
      </c>
      <c r="L62" s="256" t="s">
        <v>435</v>
      </c>
      <c r="M62" s="254">
        <v>0.19</v>
      </c>
      <c r="N62" s="103">
        <v>0.13</v>
      </c>
      <c r="O62" s="254">
        <f t="shared" si="0"/>
        <v>50.000190000000003</v>
      </c>
      <c r="P62" s="115">
        <f t="shared" si="6"/>
        <v>50.000129999999999</v>
      </c>
      <c r="Q62" s="254">
        <f t="shared" si="7"/>
        <v>-3.4641016154168439E-2</v>
      </c>
      <c r="R62" s="106">
        <v>0.1</v>
      </c>
      <c r="S62" s="104">
        <f t="shared" si="11"/>
        <v>0.88782702273489045</v>
      </c>
      <c r="T62" s="103" t="str">
        <f t="shared" si="10"/>
        <v>M-002</v>
      </c>
      <c r="U62" s="540" t="s">
        <v>188</v>
      </c>
      <c r="V62" s="1062"/>
      <c r="AS62" s="60"/>
      <c r="AT62" s="55"/>
      <c r="AU62" s="55"/>
    </row>
    <row r="63" spans="2:48" ht="30" customHeight="1" x14ac:dyDescent="0.2">
      <c r="B63" s="789"/>
      <c r="C63" s="114" t="s">
        <v>150</v>
      </c>
      <c r="D63" s="103" t="s">
        <v>138</v>
      </c>
      <c r="E63" s="103" t="s">
        <v>189</v>
      </c>
      <c r="F63" s="103">
        <v>11119515</v>
      </c>
      <c r="G63" s="103">
        <v>100</v>
      </c>
      <c r="H63" s="103">
        <v>1405</v>
      </c>
      <c r="I63" s="255">
        <v>43252</v>
      </c>
      <c r="J63" s="103">
        <v>100</v>
      </c>
      <c r="K63" s="256" t="s">
        <v>435</v>
      </c>
      <c r="L63" s="256" t="s">
        <v>435</v>
      </c>
      <c r="M63" s="254">
        <v>0.13</v>
      </c>
      <c r="N63" s="103">
        <v>0.14000000000000001</v>
      </c>
      <c r="O63" s="254">
        <f t="shared" si="0"/>
        <v>100.00013</v>
      </c>
      <c r="P63" s="115">
        <f t="shared" si="6"/>
        <v>100.00014</v>
      </c>
      <c r="Q63" s="254">
        <f t="shared" si="7"/>
        <v>5.7735026937288467E-3</v>
      </c>
      <c r="R63" s="103">
        <v>0.16</v>
      </c>
      <c r="S63" s="104">
        <f t="shared" si="11"/>
        <v>0.88782702273489045</v>
      </c>
      <c r="T63" s="103" t="str">
        <f t="shared" si="10"/>
        <v>M-002</v>
      </c>
      <c r="U63" s="540" t="s">
        <v>188</v>
      </c>
      <c r="V63" s="1062"/>
      <c r="AT63" s="60"/>
      <c r="AU63" s="55"/>
      <c r="AV63" s="55"/>
    </row>
    <row r="64" spans="2:48" ht="30" customHeight="1" x14ac:dyDescent="0.2">
      <c r="B64" s="789"/>
      <c r="C64" s="114" t="s">
        <v>151</v>
      </c>
      <c r="D64" s="103" t="s">
        <v>138</v>
      </c>
      <c r="E64" s="103" t="s">
        <v>189</v>
      </c>
      <c r="F64" s="103">
        <v>11119515</v>
      </c>
      <c r="G64" s="103" t="s">
        <v>153</v>
      </c>
      <c r="H64" s="103">
        <v>1405</v>
      </c>
      <c r="I64" s="255">
        <v>43252</v>
      </c>
      <c r="J64" s="103">
        <v>200</v>
      </c>
      <c r="K64" s="256" t="s">
        <v>435</v>
      </c>
      <c r="L64" s="256" t="s">
        <v>435</v>
      </c>
      <c r="M64" s="254">
        <v>0.2</v>
      </c>
      <c r="N64" s="103">
        <v>0.3</v>
      </c>
      <c r="O64" s="254">
        <f t="shared" si="0"/>
        <v>200.00020000000001</v>
      </c>
      <c r="P64" s="104">
        <f t="shared" si="6"/>
        <v>200.00030000000001</v>
      </c>
      <c r="Q64" s="254">
        <f t="shared" si="7"/>
        <v>5.773502692087918E-2</v>
      </c>
      <c r="R64" s="103">
        <v>0.3</v>
      </c>
      <c r="S64" s="104">
        <f t="shared" si="11"/>
        <v>0.88782702273489045</v>
      </c>
      <c r="T64" s="103" t="str">
        <f t="shared" si="10"/>
        <v>M-002</v>
      </c>
      <c r="U64" s="540" t="s">
        <v>188</v>
      </c>
      <c r="V64" s="1062"/>
      <c r="AT64" s="60"/>
      <c r="AU64" s="55"/>
      <c r="AV64" s="55"/>
    </row>
    <row r="65" spans="2:50" ht="30" customHeight="1" x14ac:dyDescent="0.2">
      <c r="B65" s="789"/>
      <c r="C65" s="114" t="s">
        <v>152</v>
      </c>
      <c r="D65" s="103" t="s">
        <v>138</v>
      </c>
      <c r="E65" s="103" t="s">
        <v>189</v>
      </c>
      <c r="F65" s="103">
        <v>11119515</v>
      </c>
      <c r="G65" s="103">
        <v>200</v>
      </c>
      <c r="H65" s="103">
        <v>1405</v>
      </c>
      <c r="I65" s="255">
        <v>43252</v>
      </c>
      <c r="J65" s="103">
        <v>200</v>
      </c>
      <c r="K65" s="256" t="s">
        <v>435</v>
      </c>
      <c r="L65" s="256" t="s">
        <v>435</v>
      </c>
      <c r="M65" s="254">
        <v>0.3</v>
      </c>
      <c r="N65" s="103">
        <v>0.2</v>
      </c>
      <c r="O65" s="254">
        <f t="shared" si="0"/>
        <v>200.00030000000001</v>
      </c>
      <c r="P65" s="104">
        <f t="shared" si="6"/>
        <v>200.00020000000001</v>
      </c>
      <c r="Q65" s="254">
        <f t="shared" si="7"/>
        <v>-5.773502692087918E-2</v>
      </c>
      <c r="R65" s="103">
        <v>0.3</v>
      </c>
      <c r="S65" s="104">
        <f t="shared" si="11"/>
        <v>0.88782702273489045</v>
      </c>
      <c r="T65" s="103" t="str">
        <f t="shared" si="10"/>
        <v>M-002</v>
      </c>
      <c r="U65" s="540" t="s">
        <v>188</v>
      </c>
      <c r="V65" s="1062"/>
      <c r="AT65" s="60"/>
      <c r="AU65" s="55"/>
      <c r="AV65" s="55"/>
    </row>
    <row r="66" spans="2:50" ht="30" customHeight="1" x14ac:dyDescent="0.2">
      <c r="B66" s="789"/>
      <c r="C66" s="114" t="s">
        <v>154</v>
      </c>
      <c r="D66" s="103" t="s">
        <v>138</v>
      </c>
      <c r="E66" s="103" t="s">
        <v>189</v>
      </c>
      <c r="F66" s="103">
        <v>11119515</v>
      </c>
      <c r="G66" s="103">
        <v>500</v>
      </c>
      <c r="H66" s="103">
        <v>1405</v>
      </c>
      <c r="I66" s="255">
        <v>43252</v>
      </c>
      <c r="J66" s="103">
        <v>500</v>
      </c>
      <c r="K66" s="256" t="s">
        <v>435</v>
      </c>
      <c r="L66" s="256" t="s">
        <v>435</v>
      </c>
      <c r="M66" s="254">
        <v>0.8</v>
      </c>
      <c r="N66" s="103">
        <v>0.8</v>
      </c>
      <c r="O66" s="254">
        <f t="shared" si="0"/>
        <v>500.00080000000003</v>
      </c>
      <c r="P66" s="104">
        <f t="shared" si="6"/>
        <v>500.00080000000003</v>
      </c>
      <c r="Q66" s="254">
        <f t="shared" si="7"/>
        <v>0</v>
      </c>
      <c r="R66" s="103">
        <v>0.8</v>
      </c>
      <c r="S66" s="104">
        <f t="shared" si="11"/>
        <v>0.88782702273489045</v>
      </c>
      <c r="T66" s="103" t="str">
        <f t="shared" si="10"/>
        <v>M-002</v>
      </c>
      <c r="U66" s="540" t="s">
        <v>188</v>
      </c>
      <c r="V66" s="1062"/>
      <c r="AI66" s="70"/>
      <c r="AJ66" s="70"/>
      <c r="AK66" s="70"/>
      <c r="AQ66" s="71"/>
      <c r="AR66" s="71"/>
      <c r="AS66" s="60"/>
      <c r="AT66" s="60"/>
      <c r="AU66" s="55"/>
      <c r="AV66" s="55"/>
    </row>
    <row r="67" spans="2:50" ht="30" customHeight="1" x14ac:dyDescent="0.2">
      <c r="B67" s="789"/>
      <c r="C67" s="114" t="s">
        <v>155</v>
      </c>
      <c r="D67" s="103" t="s">
        <v>138</v>
      </c>
      <c r="E67" s="103" t="s">
        <v>189</v>
      </c>
      <c r="F67" s="103">
        <v>11119515</v>
      </c>
      <c r="G67" s="103">
        <v>1</v>
      </c>
      <c r="H67" s="103">
        <v>1405</v>
      </c>
      <c r="I67" s="255">
        <v>43252</v>
      </c>
      <c r="J67" s="256">
        <v>1000</v>
      </c>
      <c r="K67" s="256" t="s">
        <v>435</v>
      </c>
      <c r="L67" s="256" t="s">
        <v>435</v>
      </c>
      <c r="M67" s="254">
        <v>1.9</v>
      </c>
      <c r="N67" s="103">
        <v>1.9</v>
      </c>
      <c r="O67" s="254">
        <f t="shared" si="0"/>
        <v>1000.0019</v>
      </c>
      <c r="P67" s="104">
        <f t="shared" si="6"/>
        <v>1000.0019</v>
      </c>
      <c r="Q67" s="254">
        <f t="shared" si="7"/>
        <v>0</v>
      </c>
      <c r="R67" s="103">
        <v>1.6</v>
      </c>
      <c r="S67" s="104">
        <f t="shared" si="11"/>
        <v>0.88782702273489045</v>
      </c>
      <c r="T67" s="103" t="str">
        <f t="shared" si="10"/>
        <v>M-002</v>
      </c>
      <c r="U67" s="540" t="s">
        <v>188</v>
      </c>
      <c r="V67" s="1062"/>
      <c r="AI67" s="72"/>
      <c r="AJ67" s="72"/>
      <c r="AK67" s="72"/>
      <c r="AQ67" s="72"/>
      <c r="AR67" s="72"/>
      <c r="AS67" s="72"/>
      <c r="AT67" s="72"/>
      <c r="AU67" s="72"/>
      <c r="AV67" s="72"/>
      <c r="AW67" s="72"/>
      <c r="AX67" s="72"/>
    </row>
    <row r="68" spans="2:50" ht="30" customHeight="1" x14ac:dyDescent="0.2">
      <c r="B68" s="789"/>
      <c r="C68" s="114" t="s">
        <v>156</v>
      </c>
      <c r="D68" s="103" t="s">
        <v>138</v>
      </c>
      <c r="E68" s="103" t="s">
        <v>189</v>
      </c>
      <c r="F68" s="103">
        <v>11119515</v>
      </c>
      <c r="G68" s="103" t="s">
        <v>142</v>
      </c>
      <c r="H68" s="103">
        <v>1405</v>
      </c>
      <c r="I68" s="255">
        <v>43252</v>
      </c>
      <c r="J68" s="256">
        <v>2000</v>
      </c>
      <c r="K68" s="256" t="s">
        <v>435</v>
      </c>
      <c r="L68" s="256" t="s">
        <v>435</v>
      </c>
      <c r="M68" s="254">
        <v>2.2000000000000002</v>
      </c>
      <c r="N68" s="105">
        <v>1.9</v>
      </c>
      <c r="O68" s="254">
        <f t="shared" si="0"/>
        <v>2000.0021999999999</v>
      </c>
      <c r="P68" s="104">
        <f t="shared" si="6"/>
        <v>2000.0019</v>
      </c>
      <c r="Q68" s="254">
        <f t="shared" si="7"/>
        <v>-0.1732050807134097</v>
      </c>
      <c r="R68" s="105">
        <v>3</v>
      </c>
      <c r="S68" s="104">
        <f t="shared" si="11"/>
        <v>0.88782702273489045</v>
      </c>
      <c r="T68" s="103" t="str">
        <f t="shared" si="10"/>
        <v>M-002</v>
      </c>
      <c r="U68" s="540" t="s">
        <v>188</v>
      </c>
      <c r="V68" s="1062"/>
      <c r="AE68" s="72"/>
      <c r="AF68" s="72"/>
      <c r="AG68" s="72"/>
      <c r="AH68" s="72"/>
      <c r="AI68" s="72"/>
      <c r="AJ68" s="72"/>
      <c r="AK68" s="72"/>
      <c r="AQ68" s="72"/>
      <c r="AR68" s="72"/>
      <c r="AS68" s="72"/>
      <c r="AT68" s="72"/>
      <c r="AU68" s="72"/>
      <c r="AV68" s="72"/>
      <c r="AW68" s="72"/>
      <c r="AX68" s="72"/>
    </row>
    <row r="69" spans="2:50" ht="30" customHeight="1" x14ac:dyDescent="0.2">
      <c r="B69" s="789"/>
      <c r="C69" s="114" t="s">
        <v>157</v>
      </c>
      <c r="D69" s="103" t="s">
        <v>138</v>
      </c>
      <c r="E69" s="103" t="s">
        <v>189</v>
      </c>
      <c r="F69" s="103">
        <v>11119515</v>
      </c>
      <c r="G69" s="103">
        <v>2</v>
      </c>
      <c r="H69" s="103">
        <v>1405</v>
      </c>
      <c r="I69" s="255">
        <v>43252</v>
      </c>
      <c r="J69" s="256">
        <v>2000</v>
      </c>
      <c r="K69" s="256" t="s">
        <v>435</v>
      </c>
      <c r="L69" s="256" t="s">
        <v>435</v>
      </c>
      <c r="M69" s="287">
        <v>2</v>
      </c>
      <c r="N69" s="105">
        <v>2.1</v>
      </c>
      <c r="O69" s="254">
        <f t="shared" si="0"/>
        <v>2000.002</v>
      </c>
      <c r="P69" s="104">
        <f t="shared" si="6"/>
        <v>2000.0020999999999</v>
      </c>
      <c r="Q69" s="254">
        <f t="shared" si="7"/>
        <v>5.7735026904469904E-2</v>
      </c>
      <c r="R69" s="105">
        <v>3</v>
      </c>
      <c r="S69" s="104">
        <f t="shared" si="11"/>
        <v>0.88782702273489045</v>
      </c>
      <c r="T69" s="103" t="str">
        <f t="shared" si="10"/>
        <v>M-002</v>
      </c>
      <c r="U69" s="540" t="s">
        <v>188</v>
      </c>
      <c r="V69" s="1062"/>
      <c r="AC69" s="72"/>
      <c r="AD69" s="72"/>
      <c r="AE69" s="72"/>
      <c r="AF69" s="72"/>
      <c r="AG69" s="72"/>
      <c r="AH69" s="72"/>
      <c r="AI69" s="72"/>
      <c r="AJ69" s="72"/>
      <c r="AK69" s="72"/>
      <c r="AQ69" s="72"/>
      <c r="AR69" s="72"/>
      <c r="AS69" s="72"/>
      <c r="AT69" s="72"/>
      <c r="AU69" s="72"/>
      <c r="AV69" s="72"/>
      <c r="AW69" s="72"/>
      <c r="AX69" s="72"/>
    </row>
    <row r="70" spans="2:50" ht="30" customHeight="1" thickBot="1" x14ac:dyDescent="0.25">
      <c r="B70" s="789"/>
      <c r="C70" s="116" t="s">
        <v>158</v>
      </c>
      <c r="D70" s="107" t="s">
        <v>138</v>
      </c>
      <c r="E70" s="107" t="s">
        <v>189</v>
      </c>
      <c r="F70" s="107">
        <v>11119515</v>
      </c>
      <c r="G70" s="107">
        <v>5</v>
      </c>
      <c r="H70" s="107">
        <v>1405</v>
      </c>
      <c r="I70" s="258">
        <v>43252</v>
      </c>
      <c r="J70" s="261">
        <v>5000</v>
      </c>
      <c r="K70" s="261" t="s">
        <v>435</v>
      </c>
      <c r="L70" s="261" t="s">
        <v>435</v>
      </c>
      <c r="M70" s="288">
        <v>5.9</v>
      </c>
      <c r="N70" s="107">
        <v>5.8</v>
      </c>
      <c r="O70" s="288">
        <f t="shared" si="0"/>
        <v>5000.0059000000001</v>
      </c>
      <c r="P70" s="108">
        <f t="shared" ref="P70:P89" si="12">J70+(N70)/1000</f>
        <v>5000.0057999999999</v>
      </c>
      <c r="Q70" s="288">
        <f t="shared" ref="Q70:Q89" si="13">(P70-O70)/SQRT(3)*1000</f>
        <v>-5.7735027035744159E-2</v>
      </c>
      <c r="R70" s="117">
        <v>8</v>
      </c>
      <c r="S70" s="108">
        <f t="shared" si="11"/>
        <v>0.88782702273489045</v>
      </c>
      <c r="T70" s="107" t="str">
        <f t="shared" si="10"/>
        <v>M-002</v>
      </c>
      <c r="U70" s="541" t="s">
        <v>188</v>
      </c>
      <c r="V70" s="1063"/>
      <c r="AC70" s="72"/>
      <c r="AD70" s="72"/>
      <c r="AE70" s="72"/>
      <c r="AF70" s="72"/>
      <c r="AG70" s="72"/>
      <c r="AH70" s="72"/>
      <c r="AI70" s="72"/>
      <c r="AJ70" s="72"/>
      <c r="AK70" s="72"/>
      <c r="AQ70" s="72"/>
      <c r="AR70" s="72"/>
      <c r="AS70" s="72"/>
      <c r="AT70" s="72"/>
      <c r="AU70" s="72"/>
      <c r="AV70" s="72"/>
      <c r="AW70" s="72"/>
      <c r="AX70" s="72"/>
    </row>
    <row r="71" spans="2:50" ht="30" customHeight="1" x14ac:dyDescent="0.2">
      <c r="B71" s="787"/>
      <c r="C71" s="527" t="s">
        <v>159</v>
      </c>
      <c r="D71" s="528" t="s">
        <v>138</v>
      </c>
      <c r="E71" s="528" t="s">
        <v>189</v>
      </c>
      <c r="F71" s="528">
        <v>11119467</v>
      </c>
      <c r="G71" s="528">
        <v>10</v>
      </c>
      <c r="H71" s="528">
        <v>1500</v>
      </c>
      <c r="I71" s="529">
        <v>43670</v>
      </c>
      <c r="J71" s="530">
        <v>10000</v>
      </c>
      <c r="K71" s="530" t="s">
        <v>435</v>
      </c>
      <c r="L71" s="530" t="s">
        <v>435</v>
      </c>
      <c r="M71" s="528">
        <v>7</v>
      </c>
      <c r="N71" s="528">
        <v>7</v>
      </c>
      <c r="O71" s="528">
        <f t="shared" si="0"/>
        <v>10000.007</v>
      </c>
      <c r="P71" s="531">
        <f t="shared" si="12"/>
        <v>10000.007</v>
      </c>
      <c r="Q71" s="528">
        <f t="shared" si="13"/>
        <v>0</v>
      </c>
      <c r="R71" s="528">
        <v>16</v>
      </c>
      <c r="S71" s="532">
        <f>(0.34848*((752.6+754.6)/2)-0.009024*((54.2+56.2)/2)*EXP(0.0612*((20+20.2)/2)))/(273.15+((20+20.2)/2))</f>
        <v>0.88971909362420276</v>
      </c>
      <c r="T71" s="528" t="s">
        <v>160</v>
      </c>
      <c r="U71" s="565" t="s">
        <v>188</v>
      </c>
      <c r="V71" s="546">
        <v>2</v>
      </c>
      <c r="AC71" s="72"/>
      <c r="AD71" s="72"/>
      <c r="AE71" s="72"/>
      <c r="AF71" s="72"/>
      <c r="AG71" s="72"/>
      <c r="AH71" s="72"/>
      <c r="AI71" s="72"/>
      <c r="AJ71" s="72"/>
      <c r="AK71" s="72"/>
      <c r="AQ71" s="72"/>
      <c r="AR71" s="72"/>
      <c r="AS71" s="72"/>
      <c r="AT71" s="72"/>
      <c r="AU71" s="72"/>
      <c r="AV71" s="72"/>
      <c r="AW71" s="72"/>
      <c r="AX71" s="72"/>
    </row>
    <row r="72" spans="2:50" ht="30" customHeight="1" thickBot="1" x14ac:dyDescent="0.25">
      <c r="B72" s="788"/>
      <c r="C72" s="533" t="s">
        <v>161</v>
      </c>
      <c r="D72" s="534" t="s">
        <v>138</v>
      </c>
      <c r="E72" s="534" t="s">
        <v>189</v>
      </c>
      <c r="F72" s="534">
        <v>11119468</v>
      </c>
      <c r="G72" s="534">
        <v>20</v>
      </c>
      <c r="H72" s="534">
        <v>1504</v>
      </c>
      <c r="I72" s="535">
        <v>43682</v>
      </c>
      <c r="J72" s="536">
        <v>20000</v>
      </c>
      <c r="K72" s="536" t="s">
        <v>435</v>
      </c>
      <c r="L72" s="536" t="s">
        <v>435</v>
      </c>
      <c r="M72" s="534">
        <v>0</v>
      </c>
      <c r="N72" s="534">
        <v>-4</v>
      </c>
      <c r="O72" s="534">
        <f t="shared" si="0"/>
        <v>20000</v>
      </c>
      <c r="P72" s="537">
        <f t="shared" si="12"/>
        <v>19999.995999999999</v>
      </c>
      <c r="Q72" s="534">
        <f t="shared" si="13"/>
        <v>-2.3094010772289901</v>
      </c>
      <c r="R72" s="534">
        <v>30</v>
      </c>
      <c r="S72" s="538">
        <f>(0.34848*((754.3+754.5)/2)-0.009024*((46.7+46.8)/2)*EXP(0.0612*((21.4+21.5)/2)))/(273.15+((21.4+21.5)/2))</f>
        <v>0.88705190473328321</v>
      </c>
      <c r="T72" s="534" t="s">
        <v>162</v>
      </c>
      <c r="U72" s="564" t="s">
        <v>188</v>
      </c>
      <c r="V72" s="547">
        <v>2</v>
      </c>
      <c r="AC72" s="72"/>
      <c r="AD72" s="72"/>
      <c r="AE72" s="72"/>
      <c r="AF72" s="72"/>
      <c r="AG72" s="72"/>
      <c r="AH72" s="72"/>
      <c r="AI72" s="72"/>
      <c r="AJ72" s="72"/>
      <c r="AK72" s="72"/>
      <c r="AQ72" s="72"/>
      <c r="AR72" s="72"/>
      <c r="AS72" s="72"/>
      <c r="AT72" s="72"/>
      <c r="AU72" s="72"/>
      <c r="AV72" s="72"/>
      <c r="AW72" s="72"/>
      <c r="AX72" s="72"/>
    </row>
    <row r="73" spans="2:50" ht="30" customHeight="1" x14ac:dyDescent="0.2">
      <c r="B73" s="812" t="s">
        <v>488</v>
      </c>
      <c r="C73" s="109" t="s">
        <v>299</v>
      </c>
      <c r="D73" s="110" t="s">
        <v>138</v>
      </c>
      <c r="E73" s="110" t="s">
        <v>163</v>
      </c>
      <c r="F73" s="110" t="s">
        <v>190</v>
      </c>
      <c r="G73" s="110" t="s">
        <v>164</v>
      </c>
      <c r="H73" s="110">
        <v>1392</v>
      </c>
      <c r="I73" s="259">
        <v>43228</v>
      </c>
      <c r="J73" s="110">
        <v>1</v>
      </c>
      <c r="K73" s="260" t="s">
        <v>435</v>
      </c>
      <c r="L73" s="260" t="s">
        <v>435</v>
      </c>
      <c r="M73" s="524">
        <v>0.04</v>
      </c>
      <c r="N73" s="112">
        <v>0.04</v>
      </c>
      <c r="O73" s="252">
        <f t="shared" si="0"/>
        <v>1.00004</v>
      </c>
      <c r="P73" s="121">
        <f t="shared" si="12"/>
        <v>1.00004</v>
      </c>
      <c r="Q73" s="252">
        <f t="shared" si="13"/>
        <v>0</v>
      </c>
      <c r="R73" s="112">
        <v>3.3000000000000002E-2</v>
      </c>
      <c r="S73" s="113">
        <f>(0.34848*((751.2+755.7)/2)-0.009024*((48.4+57.9)/2)*EXP(0.0612*((19.5+20.7)/2)))/(273.15+((19.5+20.7)/2))</f>
        <v>0.88975669159417592</v>
      </c>
      <c r="T73" s="110" t="s">
        <v>165</v>
      </c>
      <c r="U73" s="539" t="s">
        <v>188</v>
      </c>
      <c r="V73" s="1064">
        <v>2</v>
      </c>
      <c r="AC73" s="72"/>
      <c r="AD73" s="72"/>
      <c r="AE73" s="72"/>
      <c r="AF73" s="72"/>
      <c r="AG73" s="72"/>
      <c r="AH73" s="72"/>
      <c r="AI73" s="72"/>
      <c r="AJ73" s="72"/>
      <c r="AK73" s="72"/>
      <c r="AL73" s="72"/>
      <c r="AM73" s="72"/>
      <c r="AN73" s="72"/>
      <c r="AO73" s="72"/>
      <c r="AP73" s="72"/>
      <c r="AQ73" s="72"/>
      <c r="AR73" s="72"/>
      <c r="AS73" s="72"/>
      <c r="AT73" s="72"/>
      <c r="AU73" s="72"/>
      <c r="AV73" s="72"/>
      <c r="AW73" s="72"/>
      <c r="AX73" s="72"/>
    </row>
    <row r="74" spans="2:50" ht="30" customHeight="1" x14ac:dyDescent="0.2">
      <c r="B74" s="813"/>
      <c r="C74" s="114" t="s">
        <v>300</v>
      </c>
      <c r="D74" s="103" t="s">
        <v>138</v>
      </c>
      <c r="E74" s="103" t="s">
        <v>163</v>
      </c>
      <c r="F74" s="103" t="s">
        <v>190</v>
      </c>
      <c r="G74" s="103" t="s">
        <v>164</v>
      </c>
      <c r="H74" s="103">
        <v>1392</v>
      </c>
      <c r="I74" s="255">
        <v>43228</v>
      </c>
      <c r="J74" s="103">
        <v>2</v>
      </c>
      <c r="K74" s="256" t="s">
        <v>435</v>
      </c>
      <c r="L74" s="256" t="s">
        <v>435</v>
      </c>
      <c r="M74" s="304">
        <v>0.04</v>
      </c>
      <c r="N74" s="106">
        <v>0.04</v>
      </c>
      <c r="O74" s="254">
        <f t="shared" si="0"/>
        <v>2.0000399999999998</v>
      </c>
      <c r="P74" s="115">
        <f t="shared" si="12"/>
        <v>2.0000399999999998</v>
      </c>
      <c r="Q74" s="254">
        <f t="shared" si="13"/>
        <v>0</v>
      </c>
      <c r="R74" s="106">
        <v>0.04</v>
      </c>
      <c r="S74" s="104">
        <f t="shared" ref="S74:S91" si="14">(0.34848*((751.2+755.7)/2)-0.009024*((48.4+57.9)/2)*EXP(0.0612*((19.5+20.7)/2)))/(273.15+((19.5+20.7)/2))</f>
        <v>0.88975669159417592</v>
      </c>
      <c r="T74" s="103" t="str">
        <f t="shared" ref="T74:T86" si="15">T73</f>
        <v>M-016</v>
      </c>
      <c r="U74" s="540" t="s">
        <v>188</v>
      </c>
      <c r="V74" s="1065"/>
      <c r="AC74" s="72"/>
      <c r="AD74" s="72"/>
      <c r="AE74" s="72"/>
      <c r="AF74" s="72"/>
      <c r="AG74" s="72"/>
      <c r="AH74" s="72"/>
      <c r="AI74" s="72"/>
      <c r="AJ74" s="72"/>
      <c r="AK74" s="72"/>
      <c r="AL74" s="72"/>
      <c r="AM74" s="72"/>
      <c r="AN74" s="72"/>
      <c r="AO74" s="72"/>
      <c r="AP74" s="72"/>
      <c r="AQ74" s="72"/>
      <c r="AR74" s="72"/>
      <c r="AS74" s="72"/>
      <c r="AT74" s="72"/>
      <c r="AU74" s="72"/>
      <c r="AV74" s="72"/>
      <c r="AW74" s="72"/>
      <c r="AX74" s="72"/>
    </row>
    <row r="75" spans="2:50" ht="30" customHeight="1" x14ac:dyDescent="0.2">
      <c r="B75" s="813"/>
      <c r="C75" s="114" t="s">
        <v>301</v>
      </c>
      <c r="D75" s="103" t="s">
        <v>138</v>
      </c>
      <c r="E75" s="103" t="s">
        <v>163</v>
      </c>
      <c r="F75" s="103" t="s">
        <v>190</v>
      </c>
      <c r="G75" s="103" t="s">
        <v>166</v>
      </c>
      <c r="H75" s="103">
        <v>1392</v>
      </c>
      <c r="I75" s="255">
        <v>43228</v>
      </c>
      <c r="J75" s="103">
        <v>2</v>
      </c>
      <c r="K75" s="256" t="s">
        <v>435</v>
      </c>
      <c r="L75" s="256" t="s">
        <v>435</v>
      </c>
      <c r="M75" s="304">
        <v>5.3999999999999999E-2</v>
      </c>
      <c r="N75" s="103">
        <v>0.05</v>
      </c>
      <c r="O75" s="254">
        <f t="shared" si="0"/>
        <v>2.000054</v>
      </c>
      <c r="P75" s="119">
        <f t="shared" si="12"/>
        <v>2.0000499999999999</v>
      </c>
      <c r="Q75" s="254">
        <f t="shared" si="13"/>
        <v>-2.3094010768249114E-3</v>
      </c>
      <c r="R75" s="106">
        <v>0.04</v>
      </c>
      <c r="S75" s="104">
        <f t="shared" si="14"/>
        <v>0.88975669159417592</v>
      </c>
      <c r="T75" s="103" t="str">
        <f t="shared" si="15"/>
        <v>M-016</v>
      </c>
      <c r="U75" s="540" t="s">
        <v>188</v>
      </c>
      <c r="V75" s="1065"/>
      <c r="AC75" s="72"/>
      <c r="AD75" s="72"/>
      <c r="AE75" s="72"/>
      <c r="AF75" s="72"/>
      <c r="AG75" s="72"/>
      <c r="AH75" s="72"/>
      <c r="AI75" s="72"/>
      <c r="AJ75" s="72"/>
      <c r="AK75" s="72"/>
      <c r="AL75" s="72"/>
      <c r="AM75" s="72"/>
      <c r="AN75" s="72"/>
      <c r="AO75" s="72"/>
      <c r="AP75" s="72"/>
      <c r="AQ75" s="72"/>
      <c r="AR75" s="72"/>
      <c r="AS75" s="72"/>
      <c r="AT75" s="72"/>
      <c r="AU75" s="72"/>
      <c r="AV75" s="72"/>
      <c r="AW75" s="72"/>
      <c r="AX75" s="72"/>
    </row>
    <row r="76" spans="2:50" ht="30" customHeight="1" x14ac:dyDescent="0.2">
      <c r="B76" s="813"/>
      <c r="C76" s="114" t="s">
        <v>302</v>
      </c>
      <c r="D76" s="103" t="s">
        <v>138</v>
      </c>
      <c r="E76" s="103" t="s">
        <v>163</v>
      </c>
      <c r="F76" s="103" t="s">
        <v>190</v>
      </c>
      <c r="G76" s="103" t="s">
        <v>164</v>
      </c>
      <c r="H76" s="103">
        <v>1392</v>
      </c>
      <c r="I76" s="255">
        <v>43228</v>
      </c>
      <c r="J76" s="103">
        <v>5</v>
      </c>
      <c r="K76" s="256" t="s">
        <v>435</v>
      </c>
      <c r="L76" s="256" t="s">
        <v>435</v>
      </c>
      <c r="M76" s="254">
        <v>8.7999999999999995E-2</v>
      </c>
      <c r="N76" s="103">
        <v>7.0000000000000007E-2</v>
      </c>
      <c r="O76" s="254">
        <f t="shared" si="0"/>
        <v>5.0000879999999999</v>
      </c>
      <c r="P76" s="119">
        <f t="shared" si="12"/>
        <v>5.00007</v>
      </c>
      <c r="Q76" s="254">
        <f t="shared" si="13"/>
        <v>-1.0392304845327509E-2</v>
      </c>
      <c r="R76" s="106">
        <v>5.2999999999999999E-2</v>
      </c>
      <c r="S76" s="104">
        <f t="shared" si="14"/>
        <v>0.88975669159417592</v>
      </c>
      <c r="T76" s="103" t="str">
        <f t="shared" si="15"/>
        <v>M-016</v>
      </c>
      <c r="U76" s="540" t="s">
        <v>188</v>
      </c>
      <c r="V76" s="1065"/>
      <c r="AC76" s="72"/>
      <c r="AD76" s="72"/>
      <c r="AE76" s="72"/>
      <c r="AF76" s="72"/>
      <c r="AG76" s="72"/>
      <c r="AH76" s="72"/>
      <c r="AI76" s="72"/>
      <c r="AJ76" s="72"/>
      <c r="AK76" s="72"/>
      <c r="AL76" s="72"/>
      <c r="AM76" s="72"/>
      <c r="AN76" s="72"/>
      <c r="AO76" s="72"/>
      <c r="AP76" s="72"/>
      <c r="AQ76" s="72"/>
      <c r="AR76" s="72"/>
      <c r="AS76" s="72"/>
      <c r="AT76" s="72"/>
      <c r="AU76" s="72"/>
      <c r="AV76" s="72"/>
      <c r="AW76" s="72"/>
      <c r="AX76" s="72"/>
    </row>
    <row r="77" spans="2:50" ht="30" customHeight="1" x14ac:dyDescent="0.2">
      <c r="B77" s="813"/>
      <c r="C77" s="114" t="s">
        <v>303</v>
      </c>
      <c r="D77" s="103" t="s">
        <v>138</v>
      </c>
      <c r="E77" s="103" t="s">
        <v>163</v>
      </c>
      <c r="F77" s="103" t="s">
        <v>190</v>
      </c>
      <c r="G77" s="103" t="s">
        <v>164</v>
      </c>
      <c r="H77" s="103">
        <v>1392</v>
      </c>
      <c r="I77" s="255">
        <v>43228</v>
      </c>
      <c r="J77" s="103">
        <v>10</v>
      </c>
      <c r="K77" s="256" t="s">
        <v>435</v>
      </c>
      <c r="L77" s="256" t="s">
        <v>435</v>
      </c>
      <c r="M77" s="254">
        <v>8.7999999999999995E-2</v>
      </c>
      <c r="N77" s="103">
        <v>0.09</v>
      </c>
      <c r="O77" s="254">
        <f t="shared" si="0"/>
        <v>10.000088</v>
      </c>
      <c r="P77" s="119">
        <f t="shared" si="12"/>
        <v>10.00009</v>
      </c>
      <c r="Q77" s="254">
        <f t="shared" si="13"/>
        <v>1.1547005385406533E-3</v>
      </c>
      <c r="R77" s="106">
        <v>0.06</v>
      </c>
      <c r="S77" s="104">
        <f t="shared" si="14"/>
        <v>0.88975669159417592</v>
      </c>
      <c r="T77" s="103" t="str">
        <f t="shared" si="15"/>
        <v>M-016</v>
      </c>
      <c r="U77" s="540" t="s">
        <v>188</v>
      </c>
      <c r="V77" s="1065"/>
      <c r="AC77" s="72"/>
      <c r="AD77" s="72"/>
      <c r="AE77" s="72"/>
      <c r="AF77" s="72"/>
      <c r="AG77" s="72"/>
      <c r="AH77" s="72"/>
      <c r="AI77" s="72"/>
      <c r="AJ77" s="72"/>
      <c r="AK77" s="72"/>
      <c r="AL77" s="72"/>
      <c r="AM77" s="72"/>
      <c r="AN77" s="72"/>
      <c r="AO77" s="72"/>
      <c r="AP77" s="72"/>
      <c r="AQ77" s="72"/>
      <c r="AR77" s="72"/>
      <c r="AS77" s="72"/>
      <c r="AT77" s="72"/>
      <c r="AU77" s="72"/>
      <c r="AV77" s="72"/>
      <c r="AW77" s="72"/>
      <c r="AX77" s="72"/>
    </row>
    <row r="78" spans="2:50" ht="30" customHeight="1" x14ac:dyDescent="0.2">
      <c r="B78" s="813"/>
      <c r="C78" s="114" t="s">
        <v>304</v>
      </c>
      <c r="D78" s="103" t="s">
        <v>138</v>
      </c>
      <c r="E78" s="103" t="s">
        <v>163</v>
      </c>
      <c r="F78" s="103" t="s">
        <v>190</v>
      </c>
      <c r="G78" s="103" t="s">
        <v>164</v>
      </c>
      <c r="H78" s="103">
        <v>1392</v>
      </c>
      <c r="I78" s="255">
        <v>43228</v>
      </c>
      <c r="J78" s="103">
        <v>20</v>
      </c>
      <c r="K78" s="256" t="s">
        <v>435</v>
      </c>
      <c r="L78" s="256" t="s">
        <v>435</v>
      </c>
      <c r="M78" s="254">
        <v>9.2999999999999999E-2</v>
      </c>
      <c r="N78" s="103">
        <v>0.11</v>
      </c>
      <c r="O78" s="254">
        <f t="shared" si="0"/>
        <v>20.000093</v>
      </c>
      <c r="P78" s="119">
        <f t="shared" si="12"/>
        <v>20.000109999999999</v>
      </c>
      <c r="Q78" s="254">
        <f t="shared" si="13"/>
        <v>9.8149545760571836E-3</v>
      </c>
      <c r="R78" s="106">
        <v>8.3000000000000004E-2</v>
      </c>
      <c r="S78" s="104">
        <f t="shared" si="14"/>
        <v>0.88975669159417592</v>
      </c>
      <c r="T78" s="103" t="str">
        <f t="shared" si="15"/>
        <v>M-016</v>
      </c>
      <c r="U78" s="540" t="s">
        <v>188</v>
      </c>
      <c r="V78" s="1065"/>
      <c r="AC78" s="72"/>
      <c r="AD78" s="72"/>
      <c r="AE78" s="72"/>
      <c r="AF78" s="72"/>
      <c r="AG78" s="72"/>
      <c r="AH78" s="72"/>
      <c r="AI78" s="72"/>
      <c r="AJ78" s="72"/>
      <c r="AK78" s="72"/>
      <c r="AL78" s="72"/>
      <c r="AM78" s="72"/>
      <c r="AN78" s="72"/>
      <c r="AO78" s="72"/>
      <c r="AP78" s="72"/>
      <c r="AQ78" s="72"/>
      <c r="AR78" s="72"/>
      <c r="AS78" s="72"/>
      <c r="AT78" s="72"/>
      <c r="AU78" s="72"/>
      <c r="AV78" s="72"/>
      <c r="AW78" s="72"/>
      <c r="AX78" s="72"/>
    </row>
    <row r="79" spans="2:50" ht="30" customHeight="1" x14ac:dyDescent="0.2">
      <c r="B79" s="813"/>
      <c r="C79" s="114" t="s">
        <v>305</v>
      </c>
      <c r="D79" s="103" t="s">
        <v>138</v>
      </c>
      <c r="E79" s="103" t="s">
        <v>163</v>
      </c>
      <c r="F79" s="103" t="s">
        <v>190</v>
      </c>
      <c r="G79" s="103" t="s">
        <v>166</v>
      </c>
      <c r="H79" s="103">
        <v>1392</v>
      </c>
      <c r="I79" s="255">
        <v>43228</v>
      </c>
      <c r="J79" s="103">
        <v>20</v>
      </c>
      <c r="K79" s="256" t="s">
        <v>435</v>
      </c>
      <c r="L79" s="256" t="s">
        <v>435</v>
      </c>
      <c r="M79" s="254">
        <v>9.0999999999999998E-2</v>
      </c>
      <c r="N79" s="106">
        <v>0.1</v>
      </c>
      <c r="O79" s="254">
        <f t="shared" si="0"/>
        <v>20.000091000000001</v>
      </c>
      <c r="P79" s="119">
        <f t="shared" si="12"/>
        <v>20.0001</v>
      </c>
      <c r="Q79" s="254">
        <f t="shared" si="13"/>
        <v>5.1961524218945695E-3</v>
      </c>
      <c r="R79" s="106">
        <v>8.3000000000000004E-2</v>
      </c>
      <c r="S79" s="104">
        <f t="shared" si="14"/>
        <v>0.88975669159417592</v>
      </c>
      <c r="T79" s="103" t="str">
        <f t="shared" si="15"/>
        <v>M-016</v>
      </c>
      <c r="U79" s="540" t="s">
        <v>188</v>
      </c>
      <c r="V79" s="1065"/>
      <c r="AC79" s="72"/>
      <c r="AD79" s="72"/>
      <c r="AE79" s="72"/>
      <c r="AF79" s="72"/>
      <c r="AG79" s="72"/>
      <c r="AH79" s="72"/>
      <c r="AI79" s="72"/>
      <c r="AJ79" s="72"/>
      <c r="AK79" s="72"/>
      <c r="AL79" s="72"/>
      <c r="AM79" s="72"/>
      <c r="AN79" s="72"/>
      <c r="AO79" s="72"/>
      <c r="AP79" s="72"/>
      <c r="AQ79" s="72"/>
      <c r="AR79" s="72"/>
      <c r="AS79" s="72"/>
      <c r="AT79" s="72"/>
      <c r="AU79" s="72"/>
      <c r="AV79" s="72"/>
      <c r="AW79" s="72"/>
      <c r="AX79" s="72"/>
    </row>
    <row r="80" spans="2:50" ht="30" customHeight="1" x14ac:dyDescent="0.2">
      <c r="B80" s="813"/>
      <c r="C80" s="114" t="s">
        <v>306</v>
      </c>
      <c r="D80" s="103" t="s">
        <v>138</v>
      </c>
      <c r="E80" s="103" t="s">
        <v>163</v>
      </c>
      <c r="F80" s="103" t="s">
        <v>190</v>
      </c>
      <c r="G80" s="103" t="s">
        <v>164</v>
      </c>
      <c r="H80" s="103">
        <v>1392</v>
      </c>
      <c r="I80" s="255">
        <v>43228</v>
      </c>
      <c r="J80" s="103">
        <v>50</v>
      </c>
      <c r="K80" s="256" t="s">
        <v>435</v>
      </c>
      <c r="L80" s="256" t="s">
        <v>435</v>
      </c>
      <c r="M80" s="254">
        <v>0.08</v>
      </c>
      <c r="N80" s="106">
        <v>0.1</v>
      </c>
      <c r="O80" s="254">
        <f t="shared" si="0"/>
        <v>50.000079999999997</v>
      </c>
      <c r="P80" s="115">
        <f t="shared" si="12"/>
        <v>50.000100000000003</v>
      </c>
      <c r="Q80" s="254">
        <f t="shared" si="13"/>
        <v>1.1547005387457693E-2</v>
      </c>
      <c r="R80" s="106">
        <v>0.1</v>
      </c>
      <c r="S80" s="104">
        <f t="shared" si="14"/>
        <v>0.88975669159417592</v>
      </c>
      <c r="T80" s="103" t="str">
        <f t="shared" si="15"/>
        <v>M-016</v>
      </c>
      <c r="U80" s="540" t="s">
        <v>188</v>
      </c>
      <c r="V80" s="1065"/>
      <c r="AC80" s="72"/>
      <c r="AD80" s="72"/>
      <c r="AE80" s="72"/>
      <c r="AF80" s="72"/>
      <c r="AG80" s="72"/>
      <c r="AH80" s="72"/>
      <c r="AI80" s="72"/>
      <c r="AJ80" s="72"/>
      <c r="AK80" s="72"/>
      <c r="AL80" s="72"/>
      <c r="AM80" s="72"/>
      <c r="AN80" s="72"/>
      <c r="AO80" s="72"/>
      <c r="AP80" s="72"/>
      <c r="AQ80" s="72"/>
      <c r="AR80" s="72"/>
      <c r="AS80" s="72"/>
      <c r="AT80" s="72"/>
      <c r="AU80" s="72"/>
      <c r="AV80" s="72"/>
      <c r="AW80" s="72"/>
      <c r="AX80" s="72"/>
    </row>
    <row r="81" spans="2:50" ht="30" customHeight="1" x14ac:dyDescent="0.2">
      <c r="B81" s="813"/>
      <c r="C81" s="114" t="s">
        <v>307</v>
      </c>
      <c r="D81" s="103" t="s">
        <v>138</v>
      </c>
      <c r="E81" s="103" t="s">
        <v>163</v>
      </c>
      <c r="F81" s="103" t="s">
        <v>190</v>
      </c>
      <c r="G81" s="103" t="s">
        <v>164</v>
      </c>
      <c r="H81" s="103">
        <v>1392</v>
      </c>
      <c r="I81" s="255">
        <v>43228</v>
      </c>
      <c r="J81" s="103">
        <v>100</v>
      </c>
      <c r="K81" s="256" t="s">
        <v>435</v>
      </c>
      <c r="L81" s="256" t="s">
        <v>435</v>
      </c>
      <c r="M81" s="254">
        <v>0.08</v>
      </c>
      <c r="N81" s="103">
        <v>0.12</v>
      </c>
      <c r="O81" s="254">
        <f t="shared" si="0"/>
        <v>100.00008</v>
      </c>
      <c r="P81" s="115">
        <f t="shared" si="12"/>
        <v>100.00012</v>
      </c>
      <c r="Q81" s="254">
        <f t="shared" si="13"/>
        <v>2.3094010766710745E-2</v>
      </c>
      <c r="R81" s="103">
        <v>0.16</v>
      </c>
      <c r="S81" s="104">
        <f t="shared" si="14"/>
        <v>0.88975669159417592</v>
      </c>
      <c r="T81" s="103" t="str">
        <f t="shared" si="15"/>
        <v>M-016</v>
      </c>
      <c r="U81" s="540" t="s">
        <v>188</v>
      </c>
      <c r="V81" s="1065"/>
      <c r="AC81" s="72"/>
      <c r="AD81" s="72"/>
      <c r="AE81" s="72"/>
      <c r="AF81" s="72"/>
      <c r="AG81" s="72"/>
      <c r="AH81" s="72"/>
      <c r="AI81" s="72"/>
      <c r="AJ81" s="72"/>
      <c r="AK81" s="72"/>
      <c r="AV81" s="72"/>
      <c r="AW81" s="72"/>
      <c r="AX81" s="72"/>
    </row>
    <row r="82" spans="2:50" ht="30" customHeight="1" x14ac:dyDescent="0.2">
      <c r="B82" s="813"/>
      <c r="C82" s="114" t="s">
        <v>308</v>
      </c>
      <c r="D82" s="103" t="s">
        <v>138</v>
      </c>
      <c r="E82" s="103" t="s">
        <v>163</v>
      </c>
      <c r="F82" s="103" t="s">
        <v>190</v>
      </c>
      <c r="G82" s="103" t="s">
        <v>164</v>
      </c>
      <c r="H82" s="103">
        <v>1392</v>
      </c>
      <c r="I82" s="255">
        <v>43228</v>
      </c>
      <c r="J82" s="103">
        <v>200</v>
      </c>
      <c r="K82" s="256" t="s">
        <v>435</v>
      </c>
      <c r="L82" s="256" t="s">
        <v>435</v>
      </c>
      <c r="M82" s="254">
        <v>0.28999999999999998</v>
      </c>
      <c r="N82" s="103">
        <v>0.3</v>
      </c>
      <c r="O82" s="254">
        <f t="shared" si="0"/>
        <v>200.00029000000001</v>
      </c>
      <c r="P82" s="115">
        <f t="shared" si="12"/>
        <v>200.00030000000001</v>
      </c>
      <c r="Q82" s="254">
        <f t="shared" si="13"/>
        <v>5.7735026937288467E-3</v>
      </c>
      <c r="R82" s="105">
        <v>0.33</v>
      </c>
      <c r="S82" s="104">
        <f t="shared" si="14"/>
        <v>0.88975669159417592</v>
      </c>
      <c r="T82" s="103" t="str">
        <f t="shared" si="15"/>
        <v>M-016</v>
      </c>
      <c r="U82" s="540" t="s">
        <v>188</v>
      </c>
      <c r="V82" s="1065"/>
      <c r="AC82" s="72"/>
      <c r="AD82" s="72"/>
      <c r="AE82" s="72"/>
      <c r="AF82" s="72"/>
      <c r="AG82" s="72"/>
      <c r="AH82" s="72"/>
      <c r="AI82" s="72"/>
      <c r="AJ82" s="72"/>
      <c r="AK82" s="72"/>
      <c r="AV82" s="72"/>
      <c r="AW82" s="72"/>
      <c r="AX82" s="72"/>
    </row>
    <row r="83" spans="2:50" ht="30" customHeight="1" x14ac:dyDescent="0.2">
      <c r="B83" s="813"/>
      <c r="C83" s="114" t="s">
        <v>309</v>
      </c>
      <c r="D83" s="103" t="s">
        <v>138</v>
      </c>
      <c r="E83" s="103" t="s">
        <v>163</v>
      </c>
      <c r="F83" s="103" t="s">
        <v>190</v>
      </c>
      <c r="G83" s="103" t="s">
        <v>166</v>
      </c>
      <c r="H83" s="103">
        <v>1392</v>
      </c>
      <c r="I83" s="255">
        <v>43228</v>
      </c>
      <c r="J83" s="103">
        <v>200</v>
      </c>
      <c r="K83" s="256" t="s">
        <v>435</v>
      </c>
      <c r="L83" s="256" t="s">
        <v>435</v>
      </c>
      <c r="M83" s="254">
        <v>0.33</v>
      </c>
      <c r="N83" s="103">
        <v>0.4</v>
      </c>
      <c r="O83" s="254">
        <f t="shared" si="0"/>
        <v>200.00032999999999</v>
      </c>
      <c r="P83" s="115">
        <f t="shared" si="12"/>
        <v>200.00040000000001</v>
      </c>
      <c r="Q83" s="254">
        <f t="shared" si="13"/>
        <v>4.0414518856101929E-2</v>
      </c>
      <c r="R83" s="105">
        <v>0.33</v>
      </c>
      <c r="S83" s="104">
        <f t="shared" si="14"/>
        <v>0.88975669159417592</v>
      </c>
      <c r="T83" s="103" t="str">
        <f t="shared" si="15"/>
        <v>M-016</v>
      </c>
      <c r="U83" s="540" t="s">
        <v>188</v>
      </c>
      <c r="V83" s="1065"/>
      <c r="AC83" s="72"/>
      <c r="AD83" s="72"/>
      <c r="AE83" s="72"/>
      <c r="AF83" s="72"/>
      <c r="AG83" s="72"/>
      <c r="AH83" s="72"/>
      <c r="AI83" s="72"/>
      <c r="AJ83" s="72"/>
      <c r="AK83" s="72"/>
      <c r="AV83" s="72"/>
      <c r="AW83" s="72"/>
      <c r="AX83" s="72"/>
    </row>
    <row r="84" spans="2:50" ht="30" customHeight="1" x14ac:dyDescent="0.2">
      <c r="B84" s="813"/>
      <c r="C84" s="114" t="s">
        <v>310</v>
      </c>
      <c r="D84" s="103" t="s">
        <v>138</v>
      </c>
      <c r="E84" s="103" t="s">
        <v>163</v>
      </c>
      <c r="F84" s="103" t="s">
        <v>190</v>
      </c>
      <c r="G84" s="103" t="s">
        <v>164</v>
      </c>
      <c r="H84" s="103">
        <v>1392</v>
      </c>
      <c r="I84" s="255">
        <v>43228</v>
      </c>
      <c r="J84" s="103">
        <v>500</v>
      </c>
      <c r="K84" s="256" t="s">
        <v>435</v>
      </c>
      <c r="L84" s="256" t="s">
        <v>435</v>
      </c>
      <c r="M84" s="254">
        <v>0.94</v>
      </c>
      <c r="N84" s="103">
        <v>0.9</v>
      </c>
      <c r="O84" s="254">
        <f t="shared" si="0"/>
        <v>500.00094000000001</v>
      </c>
      <c r="P84" s="115">
        <f t="shared" si="12"/>
        <v>500.0009</v>
      </c>
      <c r="Q84" s="254">
        <f t="shared" si="13"/>
        <v>-2.3094010774915387E-2</v>
      </c>
      <c r="R84" s="105">
        <v>0.83</v>
      </c>
      <c r="S84" s="104">
        <f t="shared" si="14"/>
        <v>0.88975669159417592</v>
      </c>
      <c r="T84" s="103" t="str">
        <f t="shared" si="15"/>
        <v>M-016</v>
      </c>
      <c r="U84" s="540" t="s">
        <v>188</v>
      </c>
      <c r="V84" s="1065"/>
      <c r="AC84" s="72"/>
      <c r="AD84" s="72"/>
      <c r="AE84" s="72"/>
      <c r="AF84" s="72"/>
      <c r="AG84" s="72"/>
      <c r="AH84" s="72"/>
      <c r="AI84" s="72"/>
      <c r="AJ84" s="72"/>
      <c r="AK84" s="72"/>
      <c r="AV84" s="72"/>
      <c r="AW84" s="72"/>
      <c r="AX84" s="72"/>
    </row>
    <row r="85" spans="2:50" ht="30" customHeight="1" x14ac:dyDescent="0.2">
      <c r="B85" s="813"/>
      <c r="C85" s="114" t="s">
        <v>472</v>
      </c>
      <c r="D85" s="103" t="s">
        <v>138</v>
      </c>
      <c r="E85" s="103" t="s">
        <v>163</v>
      </c>
      <c r="F85" s="103" t="s">
        <v>190</v>
      </c>
      <c r="G85" s="103" t="s">
        <v>164</v>
      </c>
      <c r="H85" s="103">
        <v>1392</v>
      </c>
      <c r="I85" s="255">
        <v>43228</v>
      </c>
      <c r="J85" s="256">
        <v>1000</v>
      </c>
      <c r="K85" s="256" t="s">
        <v>435</v>
      </c>
      <c r="L85" s="256" t="s">
        <v>435</v>
      </c>
      <c r="M85" s="287">
        <v>0</v>
      </c>
      <c r="N85" s="105">
        <v>-0.5</v>
      </c>
      <c r="O85" s="254">
        <f t="shared" si="0"/>
        <v>1000</v>
      </c>
      <c r="P85" s="104">
        <f t="shared" si="12"/>
        <v>999.99950000000001</v>
      </c>
      <c r="Q85" s="254">
        <f t="shared" si="13"/>
        <v>-0.28867513458798666</v>
      </c>
      <c r="R85" s="103">
        <v>1.6</v>
      </c>
      <c r="S85" s="104">
        <f t="shared" si="14"/>
        <v>0.88975669159417592</v>
      </c>
      <c r="T85" s="103" t="str">
        <f t="shared" si="15"/>
        <v>M-016</v>
      </c>
      <c r="U85" s="540" t="s">
        <v>188</v>
      </c>
      <c r="V85" s="1065"/>
      <c r="AC85" s="72"/>
      <c r="AD85" s="72"/>
      <c r="AE85" s="72"/>
      <c r="AF85" s="72"/>
      <c r="AG85" s="72"/>
      <c r="AH85" s="72"/>
      <c r="AI85" s="72"/>
      <c r="AJ85" s="72"/>
      <c r="AK85" s="72"/>
      <c r="AV85" s="72"/>
      <c r="AW85" s="72"/>
      <c r="AX85" s="72"/>
    </row>
    <row r="86" spans="2:50" ht="30" customHeight="1" x14ac:dyDescent="0.2">
      <c r="B86" s="813"/>
      <c r="C86" s="114" t="s">
        <v>471</v>
      </c>
      <c r="D86" s="103" t="s">
        <v>138</v>
      </c>
      <c r="E86" s="103" t="s">
        <v>163</v>
      </c>
      <c r="F86" s="103" t="s">
        <v>190</v>
      </c>
      <c r="G86" s="103" t="s">
        <v>164</v>
      </c>
      <c r="H86" s="103">
        <v>1392</v>
      </c>
      <c r="I86" s="255">
        <v>43228</v>
      </c>
      <c r="J86" s="256">
        <v>2000</v>
      </c>
      <c r="K86" s="256" t="s">
        <v>435</v>
      </c>
      <c r="L86" s="256" t="s">
        <v>435</v>
      </c>
      <c r="M86" s="287">
        <v>3</v>
      </c>
      <c r="N86" s="105">
        <v>3.1</v>
      </c>
      <c r="O86" s="254">
        <f t="shared" si="0"/>
        <v>2000.0029999999999</v>
      </c>
      <c r="P86" s="104">
        <f t="shared" si="12"/>
        <v>2000.0030999999999</v>
      </c>
      <c r="Q86" s="254">
        <f t="shared" si="13"/>
        <v>5.7735026904469904E-2</v>
      </c>
      <c r="R86" s="105">
        <v>3</v>
      </c>
      <c r="S86" s="104">
        <f t="shared" si="14"/>
        <v>0.88975669159417592</v>
      </c>
      <c r="T86" s="103" t="str">
        <f t="shared" si="15"/>
        <v>M-016</v>
      </c>
      <c r="U86" s="540" t="s">
        <v>188</v>
      </c>
      <c r="V86" s="1065"/>
      <c r="AC86" s="72"/>
      <c r="AD86" s="72"/>
      <c r="AE86" s="72"/>
      <c r="AF86" s="72"/>
      <c r="AG86" s="72"/>
      <c r="AH86" s="72"/>
      <c r="AI86" s="72"/>
      <c r="AJ86" s="72"/>
      <c r="AK86" s="72"/>
      <c r="AV86" s="72"/>
      <c r="AW86" s="72"/>
      <c r="AX86" s="72"/>
    </row>
    <row r="87" spans="2:50" ht="30" customHeight="1" x14ac:dyDescent="0.2">
      <c r="B87" s="813"/>
      <c r="C87" s="114" t="s">
        <v>470</v>
      </c>
      <c r="D87" s="103" t="s">
        <v>138</v>
      </c>
      <c r="E87" s="103" t="s">
        <v>163</v>
      </c>
      <c r="F87" s="103" t="s">
        <v>190</v>
      </c>
      <c r="G87" s="103" t="s">
        <v>166</v>
      </c>
      <c r="H87" s="103">
        <v>1392</v>
      </c>
      <c r="I87" s="255">
        <v>43228</v>
      </c>
      <c r="J87" s="256">
        <v>2000</v>
      </c>
      <c r="K87" s="256" t="s">
        <v>435</v>
      </c>
      <c r="L87" s="256" t="s">
        <v>435</v>
      </c>
      <c r="M87" s="254">
        <v>3.9</v>
      </c>
      <c r="N87" s="103">
        <v>3.2</v>
      </c>
      <c r="O87" s="254">
        <f t="shared" si="0"/>
        <v>2000.0038999999999</v>
      </c>
      <c r="P87" s="104">
        <f t="shared" si="12"/>
        <v>2000.0032000000001</v>
      </c>
      <c r="Q87" s="254">
        <f t="shared" si="13"/>
        <v>-0.40414518833128932</v>
      </c>
      <c r="R87" s="105">
        <v>3</v>
      </c>
      <c r="S87" s="104">
        <f t="shared" si="14"/>
        <v>0.88975669159417592</v>
      </c>
      <c r="T87" s="103" t="str">
        <f>T86</f>
        <v>M-016</v>
      </c>
      <c r="U87" s="540" t="s">
        <v>188</v>
      </c>
      <c r="V87" s="1065"/>
      <c r="AC87" s="72"/>
      <c r="AD87" s="72"/>
      <c r="AE87" s="72"/>
      <c r="AF87" s="72"/>
      <c r="AG87" s="72"/>
      <c r="AH87" s="72"/>
      <c r="AI87" s="72"/>
      <c r="AJ87" s="72"/>
      <c r="AK87" s="72"/>
      <c r="AV87" s="72"/>
      <c r="AW87" s="72"/>
      <c r="AX87" s="72"/>
    </row>
    <row r="88" spans="2:50" ht="30" customHeight="1" x14ac:dyDescent="0.2">
      <c r="B88" s="813"/>
      <c r="C88" s="114" t="s">
        <v>474</v>
      </c>
      <c r="D88" s="103" t="s">
        <v>138</v>
      </c>
      <c r="E88" s="103" t="s">
        <v>163</v>
      </c>
      <c r="F88" s="103" t="s">
        <v>190</v>
      </c>
      <c r="G88" s="103" t="s">
        <v>166</v>
      </c>
      <c r="H88" s="103">
        <v>1392</v>
      </c>
      <c r="I88" s="255">
        <v>43228</v>
      </c>
      <c r="J88" s="256">
        <v>4000</v>
      </c>
      <c r="K88" s="256" t="s">
        <v>435</v>
      </c>
      <c r="L88" s="256" t="s">
        <v>435</v>
      </c>
      <c r="M88" s="287">
        <f>SUM(M86:M87)</f>
        <v>6.9</v>
      </c>
      <c r="N88" s="103">
        <f>SUM(N86:N87)</f>
        <v>6.3000000000000007</v>
      </c>
      <c r="O88" s="253">
        <f>J88+(M88)/1000</f>
        <v>4000.0068999999999</v>
      </c>
      <c r="P88" s="104">
        <f t="shared" si="12"/>
        <v>4000.0063</v>
      </c>
      <c r="Q88" s="254">
        <f t="shared" si="13"/>
        <v>-0.34641016142681941</v>
      </c>
      <c r="R88" s="105">
        <f>R87+R86</f>
        <v>6</v>
      </c>
      <c r="S88" s="104">
        <f t="shared" si="14"/>
        <v>0.88975669159417592</v>
      </c>
      <c r="T88" s="103" t="str">
        <f t="shared" ref="T88:T91" si="16">T87</f>
        <v>M-016</v>
      </c>
      <c r="U88" s="540" t="s">
        <v>188</v>
      </c>
      <c r="V88" s="1065"/>
      <c r="AC88" s="72"/>
      <c r="AD88" s="72"/>
      <c r="AE88" s="72"/>
      <c r="AF88" s="72"/>
      <c r="AG88" s="72"/>
      <c r="AH88" s="72"/>
      <c r="AI88" s="72"/>
      <c r="AJ88" s="72"/>
      <c r="AK88" s="72"/>
      <c r="AV88" s="72"/>
      <c r="AW88" s="72"/>
      <c r="AX88" s="72"/>
    </row>
    <row r="89" spans="2:50" ht="30" customHeight="1" x14ac:dyDescent="0.2">
      <c r="B89" s="813"/>
      <c r="C89" s="114" t="s">
        <v>469</v>
      </c>
      <c r="D89" s="103" t="s">
        <v>138</v>
      </c>
      <c r="E89" s="103" t="s">
        <v>163</v>
      </c>
      <c r="F89" s="103" t="s">
        <v>190</v>
      </c>
      <c r="G89" s="103" t="s">
        <v>164</v>
      </c>
      <c r="H89" s="103">
        <v>1392</v>
      </c>
      <c r="I89" s="255">
        <v>43228</v>
      </c>
      <c r="J89" s="256">
        <v>5000</v>
      </c>
      <c r="K89" s="256" t="s">
        <v>435</v>
      </c>
      <c r="L89" s="256" t="s">
        <v>435</v>
      </c>
      <c r="M89" s="254">
        <v>7.7</v>
      </c>
      <c r="N89" s="103">
        <v>7.9</v>
      </c>
      <c r="O89" s="254">
        <f t="shared" si="0"/>
        <v>5000.0077000000001</v>
      </c>
      <c r="P89" s="104">
        <f t="shared" si="12"/>
        <v>5000.0078999999996</v>
      </c>
      <c r="Q89" s="254">
        <f t="shared" si="13"/>
        <v>0.1154700535463913</v>
      </c>
      <c r="R89" s="105">
        <v>8</v>
      </c>
      <c r="S89" s="104">
        <f t="shared" si="14"/>
        <v>0.88975669159417592</v>
      </c>
      <c r="T89" s="103" t="str">
        <f t="shared" si="16"/>
        <v>M-016</v>
      </c>
      <c r="U89" s="540" t="s">
        <v>188</v>
      </c>
      <c r="V89" s="1065"/>
      <c r="AC89" s="72"/>
      <c r="AD89" s="72"/>
      <c r="AE89" s="72"/>
      <c r="AF89" s="72"/>
      <c r="AG89" s="72"/>
      <c r="AH89" s="72"/>
      <c r="AI89" s="72"/>
      <c r="AJ89" s="72"/>
      <c r="AK89" s="72"/>
      <c r="AV89" s="72"/>
      <c r="AW89" s="72"/>
      <c r="AX89" s="72"/>
    </row>
    <row r="90" spans="2:50" ht="30" customHeight="1" x14ac:dyDescent="0.2">
      <c r="B90" s="813"/>
      <c r="C90" s="114" t="s">
        <v>468</v>
      </c>
      <c r="D90" s="103" t="s">
        <v>138</v>
      </c>
      <c r="E90" s="103" t="s">
        <v>163</v>
      </c>
      <c r="F90" s="103" t="s">
        <v>190</v>
      </c>
      <c r="G90" s="103" t="s">
        <v>166</v>
      </c>
      <c r="H90" s="103">
        <v>1392</v>
      </c>
      <c r="I90" s="255">
        <v>43228</v>
      </c>
      <c r="J90" s="256">
        <v>6000</v>
      </c>
      <c r="K90" s="256" t="s">
        <v>435</v>
      </c>
      <c r="L90" s="256" t="s">
        <v>435</v>
      </c>
      <c r="M90" s="287">
        <f>M89+M85</f>
        <v>7.7</v>
      </c>
      <c r="N90" s="105">
        <f>N89+N85</f>
        <v>7.4</v>
      </c>
      <c r="O90" s="254">
        <f t="shared" ref="O90" si="17">J90+(M90)/1000</f>
        <v>6000.0077000000001</v>
      </c>
      <c r="P90" s="104">
        <f t="shared" ref="P90" si="18">J90+(N90)/1000</f>
        <v>6000.0074000000004</v>
      </c>
      <c r="Q90" s="254">
        <f t="shared" ref="Q90" si="19">(P90-O90)/SQRT(3)*1000</f>
        <v>-0.17320508058213546</v>
      </c>
      <c r="R90" s="105">
        <f>R89+R85</f>
        <v>9.6</v>
      </c>
      <c r="S90" s="104">
        <f t="shared" si="14"/>
        <v>0.88975669159417592</v>
      </c>
      <c r="T90" s="103" t="str">
        <f t="shared" si="16"/>
        <v>M-016</v>
      </c>
      <c r="U90" s="540" t="s">
        <v>188</v>
      </c>
      <c r="V90" s="1065"/>
      <c r="W90" s="72"/>
      <c r="X90" s="72"/>
      <c r="Y90" s="72"/>
      <c r="Z90" s="72"/>
      <c r="AA90" s="72"/>
      <c r="AB90" s="72"/>
      <c r="AC90" s="72"/>
      <c r="AD90" s="72"/>
      <c r="AE90" s="72"/>
      <c r="AF90" s="72"/>
      <c r="AG90" s="72"/>
      <c r="AH90" s="72"/>
      <c r="AI90" s="72"/>
      <c r="AJ90" s="72"/>
      <c r="AK90" s="72"/>
      <c r="AV90" s="72"/>
      <c r="AW90" s="72"/>
      <c r="AX90" s="72"/>
    </row>
    <row r="91" spans="2:50" ht="30" customHeight="1" thickBot="1" x14ac:dyDescent="0.25">
      <c r="B91" s="814"/>
      <c r="C91" s="116" t="s">
        <v>467</v>
      </c>
      <c r="D91" s="107" t="s">
        <v>466</v>
      </c>
      <c r="E91" s="107" t="s">
        <v>163</v>
      </c>
      <c r="F91" s="107" t="s">
        <v>190</v>
      </c>
      <c r="G91" s="107" t="s">
        <v>166</v>
      </c>
      <c r="H91" s="107">
        <v>1392</v>
      </c>
      <c r="I91" s="258">
        <v>43228</v>
      </c>
      <c r="J91" s="261">
        <v>8200</v>
      </c>
      <c r="K91" s="261" t="s">
        <v>435</v>
      </c>
      <c r="L91" s="261" t="s">
        <v>435</v>
      </c>
      <c r="M91" s="525">
        <f>M89+M86+M85+M82</f>
        <v>10.989999999999998</v>
      </c>
      <c r="N91" s="526">
        <f>N89+N86+N85+N82</f>
        <v>10.8</v>
      </c>
      <c r="O91" s="288">
        <f>J91+(M91)/1000</f>
        <v>8200.0109900000007</v>
      </c>
      <c r="P91" s="108">
        <f t="shared" ref="P91" si="20">J91+(N91)/1000</f>
        <v>8200.0108</v>
      </c>
      <c r="Q91" s="288">
        <f t="shared" ref="Q91" si="21">(P91-O91)/SQRT(3)*1000</f>
        <v>-0.109696551525443</v>
      </c>
      <c r="R91" s="117">
        <f>R89+R86+R85+R82</f>
        <v>12.93</v>
      </c>
      <c r="S91" s="108">
        <f t="shared" si="14"/>
        <v>0.88975669159417592</v>
      </c>
      <c r="T91" s="107" t="str">
        <f t="shared" si="16"/>
        <v>M-016</v>
      </c>
      <c r="U91" s="541" t="s">
        <v>188</v>
      </c>
      <c r="V91" s="1066"/>
      <c r="W91" s="72"/>
      <c r="X91" s="72"/>
      <c r="Y91" s="72"/>
      <c r="Z91" s="72"/>
      <c r="AA91" s="72"/>
      <c r="AB91" s="72"/>
      <c r="AC91" s="72"/>
      <c r="AD91" s="72"/>
      <c r="AE91" s="72"/>
      <c r="AF91" s="72"/>
      <c r="AG91" s="72"/>
      <c r="AH91" s="72"/>
      <c r="AI91" s="72"/>
      <c r="AJ91" s="72"/>
      <c r="AK91" s="72"/>
      <c r="AV91" s="72"/>
      <c r="AW91" s="72"/>
      <c r="AX91" s="72"/>
    </row>
    <row r="92" spans="2:50" ht="30" customHeight="1" x14ac:dyDescent="0.2">
      <c r="O92" s="54"/>
      <c r="P92" s="54"/>
      <c r="Q92" s="54"/>
      <c r="R92" s="54"/>
      <c r="S92" s="54"/>
      <c r="T92" s="54"/>
      <c r="U92" s="54"/>
      <c r="Z92" s="72"/>
      <c r="AA92" s="72"/>
      <c r="AB92" s="72"/>
      <c r="AC92" s="72"/>
      <c r="AD92" s="72"/>
      <c r="AE92" s="72"/>
      <c r="AF92" s="72"/>
      <c r="AG92" s="72"/>
      <c r="AH92" s="72"/>
      <c r="AI92" s="72"/>
      <c r="AJ92" s="72"/>
      <c r="AK92" s="72"/>
      <c r="AV92" s="72"/>
      <c r="AW92" s="72"/>
      <c r="AX92" s="72"/>
    </row>
    <row r="93" spans="2:50" ht="30" customHeight="1" x14ac:dyDescent="0.2">
      <c r="O93" s="54"/>
      <c r="P93" s="54"/>
      <c r="Q93" s="54"/>
      <c r="R93" s="54"/>
      <c r="S93" s="54"/>
      <c r="T93" s="54"/>
      <c r="U93" s="54"/>
      <c r="Z93" s="72"/>
      <c r="AA93" s="72"/>
      <c r="AB93" s="72"/>
      <c r="AC93" s="72"/>
      <c r="AD93" s="72"/>
      <c r="AE93" s="72"/>
      <c r="AF93" s="72"/>
      <c r="AG93" s="72"/>
      <c r="AH93" s="72"/>
      <c r="AI93" s="72"/>
      <c r="AJ93" s="72"/>
      <c r="AK93" s="72"/>
      <c r="AV93" s="72"/>
      <c r="AW93" s="72"/>
      <c r="AX93" s="72"/>
    </row>
    <row r="94" spans="2:50" ht="30" customHeight="1" x14ac:dyDescent="0.2">
      <c r="O94" s="54"/>
      <c r="P94" s="54"/>
      <c r="Q94" s="54"/>
      <c r="R94" s="54"/>
      <c r="S94" s="54"/>
      <c r="T94" s="54"/>
      <c r="U94" s="54"/>
      <c r="Z94" s="72"/>
      <c r="AA94" s="72"/>
      <c r="AB94" s="72"/>
      <c r="AC94" s="72"/>
      <c r="AD94" s="72"/>
      <c r="AE94" s="72"/>
      <c r="AF94" s="72"/>
      <c r="AG94" s="72"/>
      <c r="AH94" s="72"/>
      <c r="AI94" s="72"/>
      <c r="AJ94" s="72"/>
      <c r="AK94" s="72"/>
      <c r="AV94" s="72"/>
      <c r="AW94" s="72"/>
      <c r="AX94" s="72"/>
    </row>
    <row r="95" spans="2:50" ht="30" customHeight="1" x14ac:dyDescent="0.2">
      <c r="O95" s="54"/>
      <c r="P95" s="54"/>
      <c r="Q95" s="54"/>
      <c r="R95" s="54"/>
      <c r="S95" s="54"/>
      <c r="T95" s="54"/>
      <c r="U95" s="54"/>
      <c r="Z95" s="72"/>
      <c r="AA95" s="72"/>
      <c r="AB95" s="72"/>
      <c r="AC95" s="72"/>
      <c r="AD95" s="72"/>
      <c r="AE95" s="72"/>
      <c r="AF95" s="72"/>
      <c r="AG95" s="72"/>
      <c r="AH95" s="72"/>
      <c r="AI95" s="72"/>
      <c r="AJ95" s="72"/>
      <c r="AK95" s="72"/>
      <c r="AV95" s="72"/>
      <c r="AW95" s="72"/>
      <c r="AX95" s="72"/>
    </row>
    <row r="96" spans="2:50" ht="30" customHeight="1" thickBot="1" x14ac:dyDescent="0.25">
      <c r="O96" s="54"/>
      <c r="P96" s="54"/>
      <c r="Q96" s="54"/>
      <c r="R96" s="54"/>
      <c r="S96" s="54"/>
      <c r="T96" s="54"/>
      <c r="U96" s="54"/>
      <c r="Z96" s="72"/>
      <c r="AA96" s="72"/>
      <c r="AB96" s="72"/>
      <c r="AC96" s="72"/>
      <c r="AD96" s="72"/>
      <c r="AE96" s="72"/>
      <c r="AF96" s="72"/>
      <c r="AG96" s="72"/>
      <c r="AH96" s="72"/>
      <c r="AI96" s="72"/>
      <c r="AJ96" s="72"/>
      <c r="AK96" s="72"/>
      <c r="AV96" s="72"/>
      <c r="AW96" s="72"/>
      <c r="AX96" s="72"/>
    </row>
    <row r="97" spans="1:50" ht="30" customHeight="1" x14ac:dyDescent="0.2">
      <c r="B97" s="73"/>
      <c r="C97" s="1042" t="s">
        <v>231</v>
      </c>
      <c r="D97" s="1043"/>
      <c r="E97" s="1043"/>
      <c r="F97" s="1043"/>
      <c r="G97" s="1043"/>
      <c r="H97" s="1043"/>
      <c r="I97" s="1043"/>
      <c r="J97" s="1043"/>
      <c r="K97" s="1043"/>
      <c r="L97" s="1043"/>
      <c r="M97" s="1043"/>
      <c r="N97" s="1043"/>
      <c r="O97" s="1043"/>
      <c r="P97" s="1043"/>
      <c r="Q97" s="1043"/>
      <c r="R97" s="1043"/>
      <c r="S97" s="1043"/>
      <c r="T97" s="1044"/>
      <c r="U97" s="54"/>
      <c r="Z97" s="72"/>
      <c r="AA97" s="72"/>
      <c r="AB97" s="72"/>
      <c r="AC97" s="72"/>
      <c r="AD97" s="72"/>
      <c r="AE97" s="72"/>
      <c r="AF97" s="72"/>
      <c r="AG97" s="72"/>
      <c r="AH97" s="72"/>
      <c r="AI97" s="72"/>
      <c r="AJ97" s="72"/>
      <c r="AK97" s="72"/>
      <c r="AV97" s="72"/>
      <c r="AW97" s="72"/>
      <c r="AX97" s="72"/>
    </row>
    <row r="98" spans="1:50" ht="30" customHeight="1" thickBot="1" x14ac:dyDescent="0.25">
      <c r="B98" s="73"/>
      <c r="C98" s="1045"/>
      <c r="D98" s="1046"/>
      <c r="E98" s="1046"/>
      <c r="F98" s="1046"/>
      <c r="G98" s="1046"/>
      <c r="H98" s="1046"/>
      <c r="I98" s="1046"/>
      <c r="J98" s="1046"/>
      <c r="K98" s="1046"/>
      <c r="L98" s="1046"/>
      <c r="M98" s="1046"/>
      <c r="N98" s="1046"/>
      <c r="O98" s="1046"/>
      <c r="P98" s="1046"/>
      <c r="Q98" s="1046"/>
      <c r="R98" s="1046"/>
      <c r="S98" s="1046"/>
      <c r="T98" s="1047"/>
      <c r="U98" s="54"/>
      <c r="Z98" s="72"/>
      <c r="AA98" s="72"/>
      <c r="AB98" s="72"/>
      <c r="AC98" s="72"/>
      <c r="AD98" s="72"/>
      <c r="AE98" s="72"/>
      <c r="AF98" s="72"/>
      <c r="AG98" s="72"/>
      <c r="AH98" s="72"/>
      <c r="AI98" s="72"/>
      <c r="AJ98" s="72"/>
      <c r="AK98" s="72"/>
      <c r="AV98" s="72"/>
      <c r="AW98" s="72"/>
      <c r="AX98" s="72"/>
    </row>
    <row r="99" spans="1:50" ht="30" customHeight="1" thickBot="1" x14ac:dyDescent="0.25">
      <c r="B99" s="73"/>
      <c r="C99" s="1048" t="s">
        <v>379</v>
      </c>
      <c r="D99" s="1049"/>
      <c r="E99" s="1049"/>
      <c r="F99" s="1049"/>
      <c r="G99" s="1049"/>
      <c r="H99" s="1049"/>
      <c r="I99" s="1049"/>
      <c r="J99" s="1049"/>
      <c r="K99" s="1049"/>
      <c r="L99" s="1049"/>
      <c r="M99" s="1049"/>
      <c r="N99" s="1049"/>
      <c r="O99" s="1049"/>
      <c r="P99" s="1049"/>
      <c r="Q99" s="1049"/>
      <c r="R99" s="1049"/>
      <c r="S99" s="1049"/>
      <c r="T99" s="1050"/>
      <c r="U99" s="54"/>
      <c r="Z99" s="72"/>
      <c r="AA99" s="72"/>
      <c r="AB99" s="72"/>
      <c r="AC99" s="72"/>
      <c r="AD99" s="72"/>
      <c r="AE99" s="72"/>
      <c r="AF99" s="72"/>
      <c r="AG99" s="72"/>
      <c r="AH99" s="72"/>
      <c r="AI99" s="72"/>
      <c r="AJ99" s="72"/>
      <c r="AK99" s="72"/>
      <c r="AV99" s="72"/>
      <c r="AW99" s="72"/>
      <c r="AX99" s="72"/>
    </row>
    <row r="100" spans="1:50" ht="30" customHeight="1" x14ac:dyDescent="0.2">
      <c r="B100" s="73"/>
      <c r="C100" s="72"/>
      <c r="D100" s="1051" t="s">
        <v>3</v>
      </c>
      <c r="E100" s="1053" t="s">
        <v>171</v>
      </c>
      <c r="F100" s="1053" t="s">
        <v>172</v>
      </c>
      <c r="G100" s="1053" t="s">
        <v>173</v>
      </c>
      <c r="H100" s="1053" t="s">
        <v>174</v>
      </c>
      <c r="I100" s="1053" t="s">
        <v>175</v>
      </c>
      <c r="J100" s="1053" t="s">
        <v>176</v>
      </c>
      <c r="K100" s="1053" t="s">
        <v>177</v>
      </c>
      <c r="L100" s="1157" t="s">
        <v>178</v>
      </c>
      <c r="O100" s="1189" t="s">
        <v>232</v>
      </c>
      <c r="P100" s="1190" t="s">
        <v>175</v>
      </c>
      <c r="Q100" s="1191"/>
      <c r="R100" s="1192"/>
      <c r="S100" s="1155" t="s">
        <v>177</v>
      </c>
      <c r="T100" s="1157" t="s">
        <v>178</v>
      </c>
      <c r="U100" s="54"/>
      <c r="Z100" s="72"/>
      <c r="AA100" s="72"/>
      <c r="AB100" s="72"/>
      <c r="AC100" s="72"/>
      <c r="AD100" s="72"/>
      <c r="AE100" s="72"/>
      <c r="AF100" s="72"/>
      <c r="AG100" s="72"/>
      <c r="AH100" s="72"/>
      <c r="AI100" s="72"/>
      <c r="AJ100" s="72"/>
      <c r="AK100" s="72"/>
      <c r="AV100" s="72"/>
      <c r="AW100" s="72"/>
      <c r="AX100" s="72"/>
    </row>
    <row r="101" spans="1:50" ht="30" customHeight="1" thickBot="1" x14ac:dyDescent="0.25">
      <c r="B101" s="73"/>
      <c r="C101" s="74"/>
      <c r="D101" s="1052"/>
      <c r="E101" s="1054"/>
      <c r="F101" s="1054"/>
      <c r="G101" s="1054"/>
      <c r="H101" s="1054"/>
      <c r="I101" s="1054"/>
      <c r="J101" s="1054"/>
      <c r="K101" s="1054"/>
      <c r="L101" s="1158"/>
      <c r="O101" s="1189"/>
      <c r="P101" s="1190"/>
      <c r="Q101" s="1191"/>
      <c r="R101" s="1192"/>
      <c r="S101" s="1156"/>
      <c r="T101" s="1158"/>
      <c r="Z101" s="72"/>
      <c r="AA101" s="72"/>
      <c r="AB101" s="72"/>
      <c r="AC101" s="72"/>
      <c r="AD101" s="72"/>
      <c r="AE101" s="72"/>
      <c r="AF101" s="72"/>
      <c r="AG101" s="72"/>
      <c r="AH101" s="72"/>
      <c r="AI101" s="72"/>
      <c r="AJ101" s="72"/>
      <c r="AK101" s="72"/>
      <c r="AV101" s="72"/>
      <c r="AW101" s="72"/>
      <c r="AX101" s="72"/>
    </row>
    <row r="102" spans="1:50" ht="30" customHeight="1" thickBot="1" x14ac:dyDescent="0.25">
      <c r="A102" s="75"/>
      <c r="B102" s="76"/>
      <c r="C102" s="77"/>
      <c r="D102" s="77"/>
      <c r="E102" s="77"/>
      <c r="F102" s="77"/>
      <c r="G102" s="77"/>
      <c r="H102" s="77"/>
      <c r="I102" s="78"/>
      <c r="J102" s="78"/>
      <c r="K102" s="78"/>
      <c r="L102" s="78"/>
      <c r="O102" s="79"/>
      <c r="P102" s="79"/>
      <c r="Q102" s="79"/>
      <c r="R102" s="79"/>
      <c r="S102" s="80"/>
      <c r="T102" s="81"/>
      <c r="Z102" s="72"/>
      <c r="AA102" s="72"/>
      <c r="AB102" s="72"/>
      <c r="AC102" s="72"/>
      <c r="AD102" s="72"/>
      <c r="AE102" s="72"/>
      <c r="AF102" s="72"/>
      <c r="AG102" s="72"/>
      <c r="AH102" s="72"/>
      <c r="AI102" s="72"/>
      <c r="AJ102" s="72"/>
      <c r="AK102" s="72"/>
      <c r="AV102" s="72"/>
      <c r="AW102" s="72"/>
      <c r="AX102" s="72"/>
    </row>
    <row r="103" spans="1:50" ht="30" customHeight="1" x14ac:dyDescent="0.2">
      <c r="A103" s="1103" t="s">
        <v>212</v>
      </c>
      <c r="B103" s="1131"/>
      <c r="C103" s="1058" t="s">
        <v>214</v>
      </c>
      <c r="D103" s="1194" t="s">
        <v>179</v>
      </c>
      <c r="E103" s="1029" t="s">
        <v>197</v>
      </c>
      <c r="F103" s="715">
        <v>15.3</v>
      </c>
      <c r="G103" s="716">
        <v>0.1</v>
      </c>
      <c r="H103" s="717">
        <v>0</v>
      </c>
      <c r="I103" s="718">
        <v>0.3</v>
      </c>
      <c r="J103" s="1128">
        <v>2</v>
      </c>
      <c r="K103" s="1125">
        <v>44019</v>
      </c>
      <c r="L103" s="1119" t="s">
        <v>441</v>
      </c>
      <c r="O103" s="101"/>
      <c r="P103" s="783" t="s">
        <v>210</v>
      </c>
      <c r="Q103" s="784" t="s">
        <v>376</v>
      </c>
      <c r="R103" s="784" t="s">
        <v>211</v>
      </c>
      <c r="S103" s="1055" t="s">
        <v>444</v>
      </c>
      <c r="T103" s="1193" t="s">
        <v>445</v>
      </c>
      <c r="Z103" s="72"/>
      <c r="AA103" s="72"/>
      <c r="AB103" s="72"/>
      <c r="AC103" s="72"/>
      <c r="AD103" s="72"/>
      <c r="AE103" s="72"/>
      <c r="AF103" s="72"/>
      <c r="AG103" s="72"/>
      <c r="AH103" s="72"/>
      <c r="AI103" s="72"/>
      <c r="AJ103" s="72"/>
      <c r="AK103" s="72"/>
      <c r="AV103" s="72"/>
      <c r="AW103" s="72"/>
      <c r="AX103" s="72"/>
    </row>
    <row r="104" spans="1:50" ht="30" customHeight="1" x14ac:dyDescent="0.2">
      <c r="A104" s="1132"/>
      <c r="B104" s="1133"/>
      <c r="C104" s="1059"/>
      <c r="D104" s="1195"/>
      <c r="E104" s="1030"/>
      <c r="F104" s="719">
        <v>24.7</v>
      </c>
      <c r="G104" s="720">
        <v>0.1</v>
      </c>
      <c r="H104" s="721">
        <v>0</v>
      </c>
      <c r="I104" s="722">
        <v>0.2</v>
      </c>
      <c r="J104" s="1129"/>
      <c r="K104" s="1126"/>
      <c r="L104" s="1120"/>
      <c r="O104" s="1025" t="s">
        <v>219</v>
      </c>
      <c r="P104" s="768">
        <f>MAX(I103:I105)</f>
        <v>0.3</v>
      </c>
      <c r="Q104" s="768">
        <f>MAX(I106:I108)</f>
        <v>1.7</v>
      </c>
      <c r="R104" s="768">
        <f>MAX(I109:I111)</f>
        <v>9.6000000000000002E-2</v>
      </c>
      <c r="S104" s="1056"/>
      <c r="T104" s="1086"/>
      <c r="Z104" s="72"/>
      <c r="AA104" s="72"/>
      <c r="AB104" s="72"/>
      <c r="AC104" s="72"/>
      <c r="AD104" s="72"/>
      <c r="AE104" s="72"/>
      <c r="AF104" s="72"/>
      <c r="AG104" s="72"/>
      <c r="AH104" s="72"/>
      <c r="AI104" s="72"/>
      <c r="AJ104" s="72"/>
      <c r="AK104" s="72"/>
      <c r="AV104" s="72"/>
      <c r="AW104" s="72"/>
      <c r="AX104" s="72"/>
    </row>
    <row r="105" spans="1:50" ht="30" customHeight="1" thickBot="1" x14ac:dyDescent="0.25">
      <c r="A105" s="1134"/>
      <c r="B105" s="1135"/>
      <c r="C105" s="1059"/>
      <c r="D105" s="1195"/>
      <c r="E105" s="1030"/>
      <c r="F105" s="723">
        <v>29.5</v>
      </c>
      <c r="G105" s="724">
        <v>0.1</v>
      </c>
      <c r="H105" s="725">
        <v>-0.1</v>
      </c>
      <c r="I105" s="726">
        <v>0.2</v>
      </c>
      <c r="J105" s="1130"/>
      <c r="K105" s="1127"/>
      <c r="L105" s="1121"/>
      <c r="O105" s="1026"/>
      <c r="P105" s="779"/>
      <c r="Q105" s="780"/>
      <c r="R105" s="780"/>
      <c r="S105" s="1057"/>
      <c r="T105" s="1087"/>
      <c r="Z105" s="72"/>
      <c r="AA105" s="72"/>
      <c r="AB105" s="72"/>
      <c r="AC105" s="72"/>
      <c r="AD105" s="72"/>
      <c r="AE105" s="72"/>
      <c r="AF105" s="72"/>
      <c r="AG105" s="72"/>
      <c r="AH105" s="72"/>
      <c r="AI105" s="72"/>
      <c r="AJ105" s="72"/>
      <c r="AK105" s="72"/>
      <c r="AV105" s="72"/>
      <c r="AW105" s="72"/>
      <c r="AX105" s="72"/>
    </row>
    <row r="106" spans="1:50" ht="30" customHeight="1" x14ac:dyDescent="0.2">
      <c r="A106" s="1088" t="s">
        <v>213</v>
      </c>
      <c r="B106" s="1109"/>
      <c r="C106" s="1059"/>
      <c r="D106" s="1195"/>
      <c r="E106" s="1030"/>
      <c r="F106" s="715">
        <v>33.299999999999997</v>
      </c>
      <c r="G106" s="716">
        <v>0.1</v>
      </c>
      <c r="H106" s="716">
        <v>-3.3</v>
      </c>
      <c r="I106" s="727">
        <v>1.7</v>
      </c>
      <c r="J106" s="1128">
        <v>2</v>
      </c>
      <c r="K106" s="1125">
        <v>44020</v>
      </c>
      <c r="L106" s="1119" t="s">
        <v>442</v>
      </c>
      <c r="O106" s="54"/>
      <c r="P106" s="54"/>
      <c r="Q106" s="54"/>
      <c r="R106" s="54"/>
      <c r="S106" s="54"/>
      <c r="T106" s="54"/>
      <c r="Z106" s="72"/>
      <c r="AA106" s="72"/>
      <c r="AB106" s="72"/>
      <c r="AC106" s="72"/>
      <c r="AD106" s="72"/>
      <c r="AE106" s="72"/>
      <c r="AF106" s="72"/>
      <c r="AG106" s="72"/>
      <c r="AH106" s="72"/>
      <c r="AI106" s="72"/>
      <c r="AJ106" s="72"/>
      <c r="AK106" s="72"/>
      <c r="AV106" s="72"/>
      <c r="AW106" s="72"/>
      <c r="AX106" s="72"/>
    </row>
    <row r="107" spans="1:50" ht="30" customHeight="1" x14ac:dyDescent="0.2">
      <c r="A107" s="1090"/>
      <c r="B107" s="1110"/>
      <c r="C107" s="1059"/>
      <c r="D107" s="1195"/>
      <c r="E107" s="1030"/>
      <c r="F107" s="728">
        <v>51.2</v>
      </c>
      <c r="G107" s="720">
        <v>0.1</v>
      </c>
      <c r="H107" s="729">
        <v>-1.3</v>
      </c>
      <c r="I107" s="722">
        <v>1.7</v>
      </c>
      <c r="J107" s="1129"/>
      <c r="K107" s="1126"/>
      <c r="L107" s="1120"/>
      <c r="O107" s="54"/>
      <c r="P107" s="54"/>
      <c r="Q107" s="54"/>
      <c r="R107" s="54"/>
      <c r="S107" s="54"/>
      <c r="T107" s="54"/>
      <c r="Z107" s="72"/>
      <c r="AA107" s="72"/>
      <c r="AB107" s="72"/>
      <c r="AC107" s="72"/>
      <c r="AD107" s="72"/>
      <c r="AE107" s="72"/>
      <c r="AF107" s="72"/>
      <c r="AG107" s="72"/>
      <c r="AH107" s="72"/>
      <c r="AI107" s="72"/>
      <c r="AJ107" s="72"/>
      <c r="AK107" s="72"/>
      <c r="AV107" s="72"/>
      <c r="AW107" s="72"/>
      <c r="AX107" s="72"/>
    </row>
    <row r="108" spans="1:50" ht="30" customHeight="1" thickBot="1" x14ac:dyDescent="0.25">
      <c r="A108" s="1092"/>
      <c r="B108" s="1111"/>
      <c r="C108" s="1059"/>
      <c r="D108" s="1195"/>
      <c r="E108" s="1030"/>
      <c r="F108" s="730">
        <v>77.099999999999994</v>
      </c>
      <c r="G108" s="724">
        <v>0.1</v>
      </c>
      <c r="H108" s="731">
        <v>3</v>
      </c>
      <c r="I108" s="726">
        <v>1.7</v>
      </c>
      <c r="J108" s="1130"/>
      <c r="K108" s="1127"/>
      <c r="L108" s="1121"/>
      <c r="O108" s="54"/>
      <c r="P108" s="54"/>
      <c r="Q108" s="54"/>
      <c r="R108" s="54"/>
      <c r="S108" s="54"/>
      <c r="Z108" s="72"/>
      <c r="AA108" s="72"/>
      <c r="AB108" s="72"/>
      <c r="AC108" s="72"/>
      <c r="AD108" s="72"/>
      <c r="AE108" s="72"/>
      <c r="AF108" s="72"/>
      <c r="AG108" s="72"/>
      <c r="AH108" s="72"/>
      <c r="AI108" s="72"/>
      <c r="AJ108" s="72"/>
      <c r="AK108" s="72"/>
      <c r="AV108" s="72"/>
      <c r="AW108" s="72"/>
      <c r="AX108" s="72"/>
    </row>
    <row r="109" spans="1:50" ht="30" customHeight="1" x14ac:dyDescent="0.2">
      <c r="A109" s="1090" t="s">
        <v>233</v>
      </c>
      <c r="B109" s="1110"/>
      <c r="C109" s="1059"/>
      <c r="D109" s="1195"/>
      <c r="E109" s="1030"/>
      <c r="F109" s="715">
        <v>598.03200000000004</v>
      </c>
      <c r="G109" s="716">
        <v>0.1</v>
      </c>
      <c r="H109" s="732">
        <v>1.534</v>
      </c>
      <c r="I109" s="727">
        <v>0.08</v>
      </c>
      <c r="J109" s="1128">
        <v>2</v>
      </c>
      <c r="K109" s="1125">
        <v>43980</v>
      </c>
      <c r="L109" s="1122" t="s">
        <v>443</v>
      </c>
      <c r="O109" s="54"/>
      <c r="P109" s="54"/>
      <c r="Q109" s="54"/>
      <c r="R109" s="54"/>
      <c r="S109" s="54"/>
      <c r="Z109" s="72"/>
      <c r="AA109" s="72"/>
      <c r="AB109" s="72"/>
      <c r="AC109" s="72"/>
      <c r="AD109" s="72"/>
      <c r="AE109" s="72"/>
      <c r="AF109" s="72"/>
      <c r="AG109" s="72"/>
      <c r="AH109" s="72"/>
      <c r="AI109" s="72"/>
      <c r="AJ109" s="72"/>
      <c r="AK109" s="72"/>
      <c r="AV109" s="72"/>
      <c r="AW109" s="72"/>
      <c r="AX109" s="72"/>
    </row>
    <row r="110" spans="1:50" ht="30" customHeight="1" x14ac:dyDescent="0.2">
      <c r="A110" s="1090"/>
      <c r="B110" s="1110"/>
      <c r="C110" s="1059"/>
      <c r="D110" s="1195"/>
      <c r="E110" s="1030"/>
      <c r="F110" s="719">
        <v>752.71299999999997</v>
      </c>
      <c r="G110" s="733">
        <v>0.1</v>
      </c>
      <c r="H110" s="733">
        <v>1.0549999999999999</v>
      </c>
      <c r="I110" s="722">
        <v>8.4000000000000005E-2</v>
      </c>
      <c r="J110" s="1129"/>
      <c r="K110" s="1126"/>
      <c r="L110" s="1123"/>
      <c r="O110" s="54"/>
      <c r="P110" s="54"/>
      <c r="Q110" s="54"/>
      <c r="R110" s="54"/>
      <c r="S110" s="54"/>
      <c r="Z110" s="72"/>
      <c r="AA110" s="72"/>
      <c r="AB110" s="72"/>
      <c r="AC110" s="72"/>
      <c r="AD110" s="72"/>
      <c r="AE110" s="72"/>
      <c r="AF110" s="72"/>
      <c r="AG110" s="72"/>
      <c r="AH110" s="72"/>
      <c r="AI110" s="72"/>
      <c r="AJ110" s="72"/>
      <c r="AK110" s="72"/>
      <c r="AV110" s="72"/>
      <c r="AW110" s="72"/>
      <c r="AX110" s="72"/>
    </row>
    <row r="111" spans="1:50" ht="30" customHeight="1" thickBot="1" x14ac:dyDescent="0.25">
      <c r="A111" s="1092"/>
      <c r="B111" s="1111"/>
      <c r="C111" s="1060"/>
      <c r="D111" s="1196"/>
      <c r="E111" s="1031"/>
      <c r="F111" s="723">
        <v>848.5</v>
      </c>
      <c r="G111" s="731">
        <v>0.1</v>
      </c>
      <c r="H111" s="731">
        <v>0.77800000000000002</v>
      </c>
      <c r="I111" s="726">
        <v>9.6000000000000002E-2</v>
      </c>
      <c r="J111" s="1130"/>
      <c r="K111" s="1127"/>
      <c r="L111" s="1124"/>
      <c r="O111" s="54"/>
      <c r="P111" s="54"/>
      <c r="Q111" s="54"/>
      <c r="R111" s="54"/>
      <c r="S111" s="54"/>
      <c r="Z111" s="72"/>
      <c r="AA111" s="72"/>
      <c r="AB111" s="72"/>
      <c r="AC111" s="72"/>
      <c r="AD111" s="72"/>
      <c r="AE111" s="72"/>
      <c r="AF111" s="72"/>
      <c r="AG111" s="72"/>
      <c r="AH111" s="72"/>
      <c r="AI111" s="72"/>
      <c r="AJ111" s="72"/>
      <c r="AK111" s="72"/>
      <c r="AV111" s="72"/>
      <c r="AW111" s="72"/>
      <c r="AX111" s="72"/>
    </row>
    <row r="112" spans="1:50" ht="30" customHeight="1" x14ac:dyDescent="0.2">
      <c r="O112" s="54"/>
      <c r="P112" s="54"/>
      <c r="Q112" s="54"/>
      <c r="R112" s="54"/>
      <c r="S112" s="54"/>
      <c r="U112" s="54"/>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row>
    <row r="113" spans="1:50" ht="30" customHeight="1" thickBot="1" x14ac:dyDescent="0.25">
      <c r="O113" s="54"/>
      <c r="P113" s="54"/>
      <c r="Q113" s="54"/>
      <c r="R113" s="54"/>
      <c r="S113" s="54"/>
      <c r="U113" s="54"/>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row>
    <row r="114" spans="1:50" ht="30" customHeight="1" x14ac:dyDescent="0.2">
      <c r="A114" s="1112" t="s">
        <v>212</v>
      </c>
      <c r="B114" s="1113"/>
      <c r="C114" s="1058" t="s">
        <v>215</v>
      </c>
      <c r="D114" s="1118" t="s">
        <v>179</v>
      </c>
      <c r="E114" s="1029">
        <v>19506160802033</v>
      </c>
      <c r="F114" s="734">
        <v>15.3</v>
      </c>
      <c r="G114" s="716">
        <v>0.1</v>
      </c>
      <c r="H114" s="716">
        <v>-0.1</v>
      </c>
      <c r="I114" s="727">
        <v>0.3</v>
      </c>
      <c r="J114" s="1069">
        <v>2</v>
      </c>
      <c r="K114" s="1035">
        <v>44000</v>
      </c>
      <c r="L114" s="1070" t="s">
        <v>446</v>
      </c>
      <c r="O114" s="82"/>
      <c r="P114" s="763" t="s">
        <v>210</v>
      </c>
      <c r="Q114" s="776" t="s">
        <v>376</v>
      </c>
      <c r="R114" s="776" t="s">
        <v>211</v>
      </c>
      <c r="S114" s="1055" t="s">
        <v>449</v>
      </c>
      <c r="T114" s="1085" t="s">
        <v>450</v>
      </c>
      <c r="U114" s="54"/>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row>
    <row r="115" spans="1:50" ht="30" customHeight="1" x14ac:dyDescent="0.2">
      <c r="A115" s="1114"/>
      <c r="B115" s="1115"/>
      <c r="C115" s="1059"/>
      <c r="D115" s="1082"/>
      <c r="E115" s="1030"/>
      <c r="F115" s="719">
        <v>24.5</v>
      </c>
      <c r="G115" s="733">
        <v>0.1</v>
      </c>
      <c r="H115" s="733">
        <v>0.3</v>
      </c>
      <c r="I115" s="722">
        <v>0.3</v>
      </c>
      <c r="J115" s="1033"/>
      <c r="K115" s="1036"/>
      <c r="L115" s="1039"/>
      <c r="O115" s="1025" t="s">
        <v>209</v>
      </c>
      <c r="P115" s="768">
        <f>MAX(I114:I116)</f>
        <v>0.3</v>
      </c>
      <c r="Q115" s="781">
        <f>MAX(I117:I119)</f>
        <v>1.7</v>
      </c>
      <c r="R115" s="782">
        <f>MAX(I120:I122)</f>
        <v>0.15</v>
      </c>
      <c r="S115" s="1056"/>
      <c r="T115" s="1086"/>
      <c r="U115" s="54"/>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row>
    <row r="116" spans="1:50" ht="30" customHeight="1" thickBot="1" x14ac:dyDescent="0.25">
      <c r="A116" s="1116"/>
      <c r="B116" s="1117"/>
      <c r="C116" s="1059"/>
      <c r="D116" s="1082"/>
      <c r="E116" s="1030"/>
      <c r="F116" s="730">
        <v>29.5</v>
      </c>
      <c r="G116" s="731">
        <v>0.1</v>
      </c>
      <c r="H116" s="731">
        <v>0.2</v>
      </c>
      <c r="I116" s="726">
        <v>0.3</v>
      </c>
      <c r="J116" s="1034"/>
      <c r="K116" s="1037"/>
      <c r="L116" s="1040"/>
      <c r="O116" s="1026"/>
      <c r="P116" s="779"/>
      <c r="Q116" s="780"/>
      <c r="R116" s="780"/>
      <c r="S116" s="1057"/>
      <c r="T116" s="1087"/>
      <c r="U116" s="54"/>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row>
    <row r="117" spans="1:50" ht="30" customHeight="1" x14ac:dyDescent="0.2">
      <c r="A117" s="1088" t="s">
        <v>213</v>
      </c>
      <c r="B117" s="1109"/>
      <c r="C117" s="1059"/>
      <c r="D117" s="1082"/>
      <c r="E117" s="1030"/>
      <c r="F117" s="715">
        <v>32.4</v>
      </c>
      <c r="G117" s="735">
        <v>0.1</v>
      </c>
      <c r="H117" s="735">
        <v>-2.4</v>
      </c>
      <c r="I117" s="736">
        <v>1.7</v>
      </c>
      <c r="J117" s="1032">
        <v>2</v>
      </c>
      <c r="K117" s="1035">
        <v>44001</v>
      </c>
      <c r="L117" s="1070" t="s">
        <v>447</v>
      </c>
      <c r="O117" s="54"/>
      <c r="P117" s="54"/>
      <c r="Q117" s="54"/>
      <c r="R117" s="54"/>
      <c r="U117" s="54"/>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row>
    <row r="118" spans="1:50" ht="30" customHeight="1" x14ac:dyDescent="0.2">
      <c r="A118" s="1090"/>
      <c r="B118" s="1110"/>
      <c r="C118" s="1059"/>
      <c r="D118" s="1082"/>
      <c r="E118" s="1030"/>
      <c r="F118" s="719">
        <v>50.2</v>
      </c>
      <c r="G118" s="737">
        <v>0.1</v>
      </c>
      <c r="H118" s="737">
        <v>-0.2</v>
      </c>
      <c r="I118" s="738">
        <v>1.7</v>
      </c>
      <c r="J118" s="1033"/>
      <c r="K118" s="1036"/>
      <c r="L118" s="1039"/>
      <c r="O118" s="54"/>
      <c r="P118" s="54"/>
      <c r="Q118" s="54"/>
      <c r="R118" s="54"/>
      <c r="U118" s="54"/>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row>
    <row r="119" spans="1:50" ht="30" customHeight="1" thickBot="1" x14ac:dyDescent="0.3">
      <c r="A119" s="1092"/>
      <c r="B119" s="1111"/>
      <c r="C119" s="1059"/>
      <c r="D119" s="1082"/>
      <c r="E119" s="1030"/>
      <c r="F119" s="730">
        <v>76.099999999999994</v>
      </c>
      <c r="G119" s="739">
        <v>0.1</v>
      </c>
      <c r="H119" s="739">
        <v>3.9</v>
      </c>
      <c r="I119" s="740">
        <v>1.7</v>
      </c>
      <c r="J119" s="1034"/>
      <c r="K119" s="1037"/>
      <c r="L119" s="1040"/>
      <c r="O119" s="54"/>
      <c r="P119" s="54"/>
      <c r="Q119" s="54"/>
      <c r="R119" s="54"/>
      <c r="U119" s="54"/>
      <c r="V119" s="411"/>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row>
    <row r="120" spans="1:50" ht="30" customHeight="1" x14ac:dyDescent="0.25">
      <c r="A120" s="1088" t="s">
        <v>233</v>
      </c>
      <c r="B120" s="1109"/>
      <c r="C120" s="1059"/>
      <c r="D120" s="1082"/>
      <c r="E120" s="1030"/>
      <c r="F120" s="734">
        <v>397.70400000000001</v>
      </c>
      <c r="G120" s="735">
        <v>0.1</v>
      </c>
      <c r="H120" s="741">
        <v>2.25</v>
      </c>
      <c r="I120" s="742">
        <v>0.12</v>
      </c>
      <c r="J120" s="1032">
        <v>2</v>
      </c>
      <c r="K120" s="1035">
        <v>43980</v>
      </c>
      <c r="L120" s="1038" t="s">
        <v>448</v>
      </c>
      <c r="O120" s="54"/>
      <c r="P120" s="54"/>
      <c r="Q120" s="54"/>
      <c r="R120" s="54"/>
      <c r="T120" s="83"/>
      <c r="U120" s="54"/>
      <c r="V120" s="411"/>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row>
    <row r="121" spans="1:50" ht="30" customHeight="1" x14ac:dyDescent="0.25">
      <c r="A121" s="1090"/>
      <c r="B121" s="1110"/>
      <c r="C121" s="1059"/>
      <c r="D121" s="1082"/>
      <c r="E121" s="1030"/>
      <c r="F121" s="719">
        <v>752.71299999999997</v>
      </c>
      <c r="G121" s="737">
        <v>0.1</v>
      </c>
      <c r="H121" s="743">
        <v>1.0549999999999999</v>
      </c>
      <c r="I121" s="744">
        <v>8.4000000000000005E-2</v>
      </c>
      <c r="J121" s="1033"/>
      <c r="K121" s="1036"/>
      <c r="L121" s="1039"/>
      <c r="O121" s="54"/>
      <c r="P121" s="54"/>
      <c r="Q121" s="54"/>
      <c r="R121" s="54"/>
      <c r="T121" s="70"/>
      <c r="U121" s="54"/>
      <c r="V121" s="411"/>
    </row>
    <row r="122" spans="1:50" ht="30" customHeight="1" thickBot="1" x14ac:dyDescent="0.3">
      <c r="A122" s="1092"/>
      <c r="B122" s="1111"/>
      <c r="C122" s="1060"/>
      <c r="D122" s="1083"/>
      <c r="E122" s="1031"/>
      <c r="F122" s="730">
        <v>1098.79</v>
      </c>
      <c r="G122" s="739">
        <v>0.1</v>
      </c>
      <c r="H122" s="745">
        <v>0.84</v>
      </c>
      <c r="I122" s="746">
        <v>0.15</v>
      </c>
      <c r="J122" s="1034"/>
      <c r="K122" s="1037"/>
      <c r="L122" s="1040"/>
      <c r="O122" s="54"/>
      <c r="P122" s="54"/>
      <c r="Q122" s="54"/>
      <c r="R122" s="54"/>
      <c r="T122" s="70"/>
      <c r="U122" s="54"/>
      <c r="V122" s="411"/>
    </row>
    <row r="123" spans="1:50" ht="30" customHeight="1" x14ac:dyDescent="0.25">
      <c r="O123" s="54"/>
      <c r="P123" s="54"/>
      <c r="Q123" s="54"/>
      <c r="R123" s="54"/>
      <c r="T123" s="70"/>
      <c r="U123" s="54"/>
      <c r="V123" s="411"/>
    </row>
    <row r="124" spans="1:50" ht="30" customHeight="1" thickBot="1" x14ac:dyDescent="0.3">
      <c r="O124" s="54"/>
      <c r="P124" s="54"/>
      <c r="Q124" s="54"/>
      <c r="R124" s="54"/>
      <c r="T124" s="70"/>
      <c r="U124" s="54"/>
      <c r="V124" s="411"/>
    </row>
    <row r="125" spans="1:50" ht="30" customHeight="1" x14ac:dyDescent="0.25">
      <c r="A125" s="1103" t="s">
        <v>212</v>
      </c>
      <c r="B125" s="1104"/>
      <c r="C125" s="1058" t="s">
        <v>216</v>
      </c>
      <c r="D125" s="1072" t="s">
        <v>179</v>
      </c>
      <c r="E125" s="1029">
        <v>19406160802033</v>
      </c>
      <c r="F125" s="215">
        <v>15.3</v>
      </c>
      <c r="G125" s="205">
        <v>0.1</v>
      </c>
      <c r="H125" s="206">
        <v>-0.1</v>
      </c>
      <c r="I125" s="751">
        <v>0.3</v>
      </c>
      <c r="J125" s="1094">
        <v>2</v>
      </c>
      <c r="K125" s="1097">
        <v>43732</v>
      </c>
      <c r="L125" s="1100" t="s">
        <v>311</v>
      </c>
      <c r="O125" s="292"/>
      <c r="P125" s="763" t="s">
        <v>210</v>
      </c>
      <c r="Q125" s="776" t="s">
        <v>376</v>
      </c>
      <c r="R125" s="776" t="s">
        <v>211</v>
      </c>
      <c r="S125" s="1055" t="s">
        <v>452</v>
      </c>
      <c r="T125" s="1085" t="s">
        <v>453</v>
      </c>
      <c r="U125" s="54"/>
      <c r="V125" s="411"/>
    </row>
    <row r="126" spans="1:50" ht="30" customHeight="1" x14ac:dyDescent="0.25">
      <c r="A126" s="1105"/>
      <c r="B126" s="1106"/>
      <c r="C126" s="1059"/>
      <c r="D126" s="1074"/>
      <c r="E126" s="1030"/>
      <c r="F126" s="207">
        <v>24.8</v>
      </c>
      <c r="G126" s="214">
        <v>0.1</v>
      </c>
      <c r="H126" s="211">
        <v>0</v>
      </c>
      <c r="I126" s="752">
        <v>0.3</v>
      </c>
      <c r="J126" s="1095"/>
      <c r="K126" s="1098"/>
      <c r="L126" s="1101"/>
      <c r="O126" s="1027" t="s">
        <v>220</v>
      </c>
      <c r="P126" s="768">
        <f>MAX(I125:I127)</f>
        <v>0.3</v>
      </c>
      <c r="Q126" s="778">
        <f>MAX(I128:I130)</f>
        <v>1.7</v>
      </c>
      <c r="R126" s="778">
        <f>MAX(I131:I133)</f>
        <v>0.14000000000000001</v>
      </c>
      <c r="S126" s="1056"/>
      <c r="T126" s="1086"/>
      <c r="U126" s="54"/>
      <c r="V126" s="411"/>
    </row>
    <row r="127" spans="1:50" ht="30" customHeight="1" thickBot="1" x14ac:dyDescent="0.3">
      <c r="A127" s="1107"/>
      <c r="B127" s="1108"/>
      <c r="C127" s="1059"/>
      <c r="D127" s="1074"/>
      <c r="E127" s="1030"/>
      <c r="F127" s="212">
        <v>29.6</v>
      </c>
      <c r="G127" s="213">
        <v>0.1</v>
      </c>
      <c r="H127" s="213">
        <v>0.1</v>
      </c>
      <c r="I127" s="209">
        <v>0.3</v>
      </c>
      <c r="J127" s="1096"/>
      <c r="K127" s="1099"/>
      <c r="L127" s="1102"/>
      <c r="O127" s="1028"/>
      <c r="P127" s="779"/>
      <c r="Q127" s="780"/>
      <c r="R127" s="780"/>
      <c r="S127" s="1057"/>
      <c r="T127" s="1087"/>
      <c r="U127" s="54"/>
      <c r="V127" s="411"/>
    </row>
    <row r="128" spans="1:50" ht="30" customHeight="1" x14ac:dyDescent="0.25">
      <c r="A128" s="1088" t="s">
        <v>213</v>
      </c>
      <c r="B128" s="1089"/>
      <c r="C128" s="1059"/>
      <c r="D128" s="1074"/>
      <c r="E128" s="1030"/>
      <c r="F128" s="204">
        <v>32.299999999999997</v>
      </c>
      <c r="G128" s="205">
        <v>0.1</v>
      </c>
      <c r="H128" s="205">
        <v>-2.2999999999999998</v>
      </c>
      <c r="I128" s="210">
        <v>1.7</v>
      </c>
      <c r="J128" s="1094">
        <v>2</v>
      </c>
      <c r="K128" s="1097">
        <v>43733</v>
      </c>
      <c r="L128" s="1100" t="s">
        <v>312</v>
      </c>
      <c r="O128" s="54"/>
      <c r="P128" s="54"/>
      <c r="Q128" s="54"/>
      <c r="R128" s="54"/>
      <c r="T128" s="70"/>
      <c r="U128" s="54"/>
      <c r="V128" s="411"/>
    </row>
    <row r="129" spans="1:22" ht="30" customHeight="1" x14ac:dyDescent="0.25">
      <c r="A129" s="1090"/>
      <c r="B129" s="1091"/>
      <c r="C129" s="1059"/>
      <c r="D129" s="1074"/>
      <c r="E129" s="1030"/>
      <c r="F129" s="207">
        <v>50.6</v>
      </c>
      <c r="G129" s="214">
        <v>0.1</v>
      </c>
      <c r="H129" s="214">
        <v>-0.6</v>
      </c>
      <c r="I129" s="208">
        <v>1.7</v>
      </c>
      <c r="J129" s="1095">
        <v>2</v>
      </c>
      <c r="K129" s="1098"/>
      <c r="L129" s="1101"/>
      <c r="O129" s="54"/>
      <c r="P129" s="54"/>
      <c r="Q129" s="54"/>
      <c r="R129" s="54"/>
      <c r="T129" s="70"/>
      <c r="U129" s="54"/>
      <c r="V129" s="411"/>
    </row>
    <row r="130" spans="1:22" ht="30" customHeight="1" thickBot="1" x14ac:dyDescent="0.3">
      <c r="A130" s="1092"/>
      <c r="B130" s="1093"/>
      <c r="C130" s="1059"/>
      <c r="D130" s="1074"/>
      <c r="E130" s="1030"/>
      <c r="F130" s="212">
        <v>68.599999999999994</v>
      </c>
      <c r="G130" s="213">
        <v>0.1</v>
      </c>
      <c r="H130" s="213">
        <v>1.4</v>
      </c>
      <c r="I130" s="209">
        <v>1.7</v>
      </c>
      <c r="J130" s="1096"/>
      <c r="K130" s="1099"/>
      <c r="L130" s="1102"/>
      <c r="O130" s="54"/>
      <c r="P130" s="54"/>
      <c r="Q130" s="54"/>
      <c r="R130" s="54"/>
      <c r="T130" s="70"/>
      <c r="U130" s="54"/>
      <c r="V130" s="411"/>
    </row>
    <row r="131" spans="1:22" ht="30" customHeight="1" x14ac:dyDescent="0.25">
      <c r="A131" s="1088" t="s">
        <v>233</v>
      </c>
      <c r="B131" s="1089"/>
      <c r="C131" s="1059"/>
      <c r="D131" s="1074"/>
      <c r="E131" s="1030"/>
      <c r="F131" s="734">
        <v>397.74599999999998</v>
      </c>
      <c r="G131" s="716">
        <v>0.1</v>
      </c>
      <c r="H131" s="747">
        <v>2.33</v>
      </c>
      <c r="I131" s="748">
        <v>0.12</v>
      </c>
      <c r="J131" s="1069">
        <v>2</v>
      </c>
      <c r="K131" s="1035">
        <v>44106</v>
      </c>
      <c r="L131" s="1084" t="s">
        <v>451</v>
      </c>
      <c r="O131" s="54"/>
      <c r="P131" s="54"/>
      <c r="Q131" s="54"/>
      <c r="R131" s="54"/>
      <c r="T131" s="70"/>
      <c r="U131" s="54"/>
      <c r="V131" s="411"/>
    </row>
    <row r="132" spans="1:22" ht="30" customHeight="1" x14ac:dyDescent="0.25">
      <c r="A132" s="1090"/>
      <c r="B132" s="1091"/>
      <c r="C132" s="1059"/>
      <c r="D132" s="1074"/>
      <c r="E132" s="1030"/>
      <c r="F132" s="719">
        <v>752.61900000000003</v>
      </c>
      <c r="G132" s="733">
        <v>0.1</v>
      </c>
      <c r="H132" s="749">
        <v>0.99099999999999999</v>
      </c>
      <c r="I132" s="744">
        <v>8.4000000000000005E-2</v>
      </c>
      <c r="J132" s="1033">
        <v>2</v>
      </c>
      <c r="K132" s="1036">
        <v>42671</v>
      </c>
      <c r="L132" s="1039" t="s">
        <v>196</v>
      </c>
      <c r="O132" s="54"/>
      <c r="P132" s="54"/>
      <c r="Q132" s="54"/>
      <c r="R132" s="54"/>
      <c r="T132" s="70"/>
      <c r="U132" s="54"/>
      <c r="V132" s="411"/>
    </row>
    <row r="133" spans="1:22" ht="30" customHeight="1" thickBot="1" x14ac:dyDescent="0.3">
      <c r="A133" s="1092"/>
      <c r="B133" s="1093"/>
      <c r="C133" s="1060"/>
      <c r="D133" s="1075"/>
      <c r="E133" s="1031"/>
      <c r="F133" s="730">
        <v>1098.8340000000001</v>
      </c>
      <c r="G133" s="731">
        <v>0.1</v>
      </c>
      <c r="H133" s="750">
        <v>0.74</v>
      </c>
      <c r="I133" s="746">
        <v>0.14000000000000001</v>
      </c>
      <c r="J133" s="1034"/>
      <c r="K133" s="1037"/>
      <c r="L133" s="1040"/>
      <c r="O133" s="54"/>
      <c r="P133" s="54"/>
      <c r="Q133" s="54"/>
      <c r="R133" s="54"/>
      <c r="T133" s="70"/>
      <c r="U133" s="54"/>
      <c r="V133" s="411"/>
    </row>
    <row r="134" spans="1:22" ht="30" customHeight="1" thickBot="1" x14ac:dyDescent="0.3">
      <c r="A134" s="75"/>
      <c r="B134" s="78"/>
      <c r="C134" s="55"/>
      <c r="D134" s="55"/>
      <c r="E134" s="55"/>
      <c r="F134" s="55"/>
      <c r="G134" s="55"/>
      <c r="H134" s="55"/>
      <c r="I134" s="55"/>
      <c r="J134" s="55"/>
      <c r="K134" s="55"/>
      <c r="L134" s="55"/>
      <c r="O134" s="54"/>
      <c r="P134" s="54"/>
      <c r="Q134" s="54"/>
      <c r="R134" s="54"/>
      <c r="T134" s="70"/>
      <c r="U134" s="54"/>
      <c r="V134" s="411"/>
    </row>
    <row r="135" spans="1:22" ht="30" customHeight="1" x14ac:dyDescent="0.25">
      <c r="A135" s="1071" t="s">
        <v>212</v>
      </c>
      <c r="B135" s="1072"/>
      <c r="C135" s="1081" t="s">
        <v>217</v>
      </c>
      <c r="D135" s="1072" t="s">
        <v>179</v>
      </c>
      <c r="E135" s="1029" t="s">
        <v>194</v>
      </c>
      <c r="F135" s="715">
        <v>15.2</v>
      </c>
      <c r="G135" s="716">
        <v>0.1</v>
      </c>
      <c r="H135" s="717">
        <v>0</v>
      </c>
      <c r="I135" s="753">
        <v>0.3</v>
      </c>
      <c r="J135" s="1078">
        <v>2</v>
      </c>
      <c r="K135" s="1035">
        <v>44000</v>
      </c>
      <c r="L135" s="1070" t="s">
        <v>454</v>
      </c>
      <c r="O135" s="82"/>
      <c r="P135" s="763" t="s">
        <v>210</v>
      </c>
      <c r="Q135" s="776" t="s">
        <v>376</v>
      </c>
      <c r="R135" s="776" t="s">
        <v>211</v>
      </c>
      <c r="S135" s="1055" t="s">
        <v>457</v>
      </c>
      <c r="T135" s="1085" t="s">
        <v>458</v>
      </c>
      <c r="U135" s="54"/>
      <c r="V135" s="411"/>
    </row>
    <row r="136" spans="1:22" ht="30" customHeight="1" x14ac:dyDescent="0.25">
      <c r="A136" s="1073"/>
      <c r="B136" s="1074"/>
      <c r="C136" s="1082"/>
      <c r="D136" s="1074"/>
      <c r="E136" s="1030"/>
      <c r="F136" s="719">
        <v>24.8</v>
      </c>
      <c r="G136" s="733">
        <v>0.1</v>
      </c>
      <c r="H136" s="729">
        <v>0</v>
      </c>
      <c r="I136" s="754">
        <v>0.2</v>
      </c>
      <c r="J136" s="1079"/>
      <c r="K136" s="1036"/>
      <c r="L136" s="1039"/>
      <c r="O136" s="1025" t="s">
        <v>207</v>
      </c>
      <c r="P136" s="777">
        <f>MAX(I135:I137)</f>
        <v>0.3</v>
      </c>
      <c r="Q136" s="778">
        <f>MAX(I138:I140)</f>
        <v>1.7</v>
      </c>
      <c r="R136" s="778">
        <f>MAX(I141:I143)</f>
        <v>9.5000000000000001E-2</v>
      </c>
      <c r="S136" s="1056"/>
      <c r="T136" s="1086"/>
      <c r="U136" s="54"/>
      <c r="V136" s="411"/>
    </row>
    <row r="137" spans="1:22" ht="30" customHeight="1" thickBot="1" x14ac:dyDescent="0.3">
      <c r="A137" s="1073"/>
      <c r="B137" s="1074"/>
      <c r="C137" s="1082"/>
      <c r="D137" s="1074"/>
      <c r="E137" s="1030"/>
      <c r="F137" s="723">
        <v>29.8</v>
      </c>
      <c r="G137" s="731">
        <v>0.1</v>
      </c>
      <c r="H137" s="755">
        <v>-0.1</v>
      </c>
      <c r="I137" s="756">
        <v>0.2</v>
      </c>
      <c r="J137" s="1080">
        <v>1.96</v>
      </c>
      <c r="K137" s="1037"/>
      <c r="L137" s="1040"/>
      <c r="O137" s="1026"/>
      <c r="P137" s="779"/>
      <c r="Q137" s="780"/>
      <c r="R137" s="780"/>
      <c r="S137" s="1057"/>
      <c r="T137" s="1087"/>
      <c r="U137" s="54"/>
      <c r="V137" s="411"/>
    </row>
    <row r="138" spans="1:22" ht="30" customHeight="1" x14ac:dyDescent="0.25">
      <c r="A138" s="1067" t="s">
        <v>213</v>
      </c>
      <c r="B138" s="1068"/>
      <c r="C138" s="1082"/>
      <c r="D138" s="1074"/>
      <c r="E138" s="1030"/>
      <c r="F138" s="715">
        <v>32.9</v>
      </c>
      <c r="G138" s="716">
        <v>0.1</v>
      </c>
      <c r="H138" s="716">
        <v>-3</v>
      </c>
      <c r="I138" s="748">
        <v>1.7</v>
      </c>
      <c r="J138" s="1078">
        <v>2</v>
      </c>
      <c r="K138" s="1035">
        <v>44001</v>
      </c>
      <c r="L138" s="1070" t="s">
        <v>455</v>
      </c>
      <c r="O138" s="54"/>
      <c r="P138" s="54"/>
      <c r="Q138" s="54"/>
      <c r="R138" s="54"/>
      <c r="T138" s="70"/>
      <c r="U138" s="54"/>
      <c r="V138" s="411"/>
    </row>
    <row r="139" spans="1:22" ht="30" customHeight="1" x14ac:dyDescent="0.25">
      <c r="A139" s="1067"/>
      <c r="B139" s="1068"/>
      <c r="C139" s="1082"/>
      <c r="D139" s="1074"/>
      <c r="E139" s="1030"/>
      <c r="F139" s="719">
        <v>51.2</v>
      </c>
      <c r="G139" s="733">
        <v>0.1</v>
      </c>
      <c r="H139" s="733">
        <v>-1.2</v>
      </c>
      <c r="I139" s="744">
        <v>1.7</v>
      </c>
      <c r="J139" s="1079">
        <v>1.96</v>
      </c>
      <c r="K139" s="1036"/>
      <c r="L139" s="1039"/>
      <c r="O139" s="54"/>
      <c r="P139" s="54"/>
      <c r="Q139" s="54"/>
      <c r="R139" s="54"/>
      <c r="T139" s="70"/>
      <c r="U139" s="54"/>
      <c r="V139" s="411"/>
    </row>
    <row r="140" spans="1:22" ht="30" customHeight="1" thickBot="1" x14ac:dyDescent="0.3">
      <c r="A140" s="1067"/>
      <c r="B140" s="1068"/>
      <c r="C140" s="1082"/>
      <c r="D140" s="1074"/>
      <c r="E140" s="1030"/>
      <c r="F140" s="730">
        <v>77.599999999999994</v>
      </c>
      <c r="G140" s="731">
        <v>0.1</v>
      </c>
      <c r="H140" s="731">
        <v>2.4</v>
      </c>
      <c r="I140" s="746">
        <v>1.7</v>
      </c>
      <c r="J140" s="1080"/>
      <c r="K140" s="1037"/>
      <c r="L140" s="1040"/>
      <c r="O140" s="54"/>
      <c r="P140" s="54"/>
      <c r="Q140" s="54"/>
      <c r="R140" s="54"/>
      <c r="T140" s="70"/>
      <c r="U140" s="54"/>
      <c r="V140" s="411"/>
    </row>
    <row r="141" spans="1:22" ht="30" customHeight="1" x14ac:dyDescent="0.2">
      <c r="A141" s="1067" t="s">
        <v>233</v>
      </c>
      <c r="B141" s="1068"/>
      <c r="C141" s="1082"/>
      <c r="D141" s="1074"/>
      <c r="E141" s="1030"/>
      <c r="F141" s="715">
        <v>598.11699999999996</v>
      </c>
      <c r="G141" s="716">
        <v>0.1</v>
      </c>
      <c r="H141" s="716">
        <v>1.4450000000000001</v>
      </c>
      <c r="I141" s="748">
        <v>7.9000000000000001E-2</v>
      </c>
      <c r="J141" s="1078">
        <v>2</v>
      </c>
      <c r="K141" s="1035">
        <v>43980</v>
      </c>
      <c r="L141" s="1084" t="s">
        <v>456</v>
      </c>
      <c r="O141" s="54"/>
      <c r="P141" s="54"/>
      <c r="Q141" s="54"/>
      <c r="R141" s="54"/>
      <c r="T141" s="55"/>
    </row>
    <row r="142" spans="1:22" ht="30" customHeight="1" x14ac:dyDescent="0.2">
      <c r="A142" s="1067"/>
      <c r="B142" s="1068"/>
      <c r="C142" s="1082"/>
      <c r="D142" s="1074"/>
      <c r="E142" s="1030"/>
      <c r="F142" s="719">
        <v>752.81600000000003</v>
      </c>
      <c r="G142" s="733">
        <v>0.1</v>
      </c>
      <c r="H142" s="749">
        <v>0.95399999999999996</v>
      </c>
      <c r="I142" s="744">
        <v>8.4000000000000005E-2</v>
      </c>
      <c r="J142" s="1079">
        <v>2</v>
      </c>
      <c r="K142" s="1036">
        <v>42625</v>
      </c>
      <c r="L142" s="1039" t="s">
        <v>195</v>
      </c>
      <c r="O142" s="54"/>
      <c r="P142" s="54"/>
      <c r="Q142" s="54"/>
      <c r="R142" s="54"/>
      <c r="T142" s="55"/>
    </row>
    <row r="143" spans="1:22" ht="30" customHeight="1" thickBot="1" x14ac:dyDescent="0.25">
      <c r="A143" s="1076"/>
      <c r="B143" s="1077"/>
      <c r="C143" s="1083"/>
      <c r="D143" s="1075"/>
      <c r="E143" s="1031"/>
      <c r="F143" s="730">
        <v>848.553</v>
      </c>
      <c r="G143" s="731">
        <v>0.1</v>
      </c>
      <c r="H143" s="731">
        <v>0.70399999999999996</v>
      </c>
      <c r="I143" s="746">
        <v>9.5000000000000001E-2</v>
      </c>
      <c r="J143" s="1080"/>
      <c r="K143" s="1037"/>
      <c r="L143" s="1040"/>
      <c r="O143" s="54"/>
      <c r="P143" s="54"/>
      <c r="Q143" s="54"/>
      <c r="R143" s="54"/>
      <c r="T143" s="55"/>
    </row>
    <row r="144" spans="1:22" ht="30" customHeight="1" thickBot="1" x14ac:dyDescent="0.25">
      <c r="A144" s="84"/>
      <c r="B144" s="55"/>
      <c r="C144" s="55"/>
      <c r="D144" s="55"/>
      <c r="E144" s="55"/>
      <c r="F144" s="55"/>
      <c r="G144" s="55"/>
      <c r="H144" s="55"/>
      <c r="I144" s="55"/>
      <c r="J144" s="55"/>
      <c r="K144" s="55"/>
      <c r="L144" s="55"/>
      <c r="O144" s="54"/>
      <c r="P144" s="54"/>
      <c r="Q144" s="54"/>
      <c r="R144" s="54"/>
      <c r="T144" s="55"/>
    </row>
    <row r="145" spans="1:20" ht="30" customHeight="1" x14ac:dyDescent="0.2">
      <c r="A145" s="1071" t="s">
        <v>212</v>
      </c>
      <c r="B145" s="1072"/>
      <c r="C145" s="1081" t="s">
        <v>218</v>
      </c>
      <c r="D145" s="1072" t="s">
        <v>179</v>
      </c>
      <c r="E145" s="1041" t="s">
        <v>191</v>
      </c>
      <c r="F145" s="715">
        <v>15.1</v>
      </c>
      <c r="G145" s="716">
        <v>0.1</v>
      </c>
      <c r="H145" s="717">
        <v>0.2</v>
      </c>
      <c r="I145" s="753">
        <v>0.3</v>
      </c>
      <c r="J145" s="1069">
        <v>2</v>
      </c>
      <c r="K145" s="1035">
        <v>44019</v>
      </c>
      <c r="L145" s="1070" t="s">
        <v>459</v>
      </c>
      <c r="O145" s="82"/>
      <c r="P145" s="763" t="s">
        <v>210</v>
      </c>
      <c r="Q145" s="776" t="s">
        <v>376</v>
      </c>
      <c r="R145" s="776" t="s">
        <v>211</v>
      </c>
      <c r="S145" s="1055" t="s">
        <v>462</v>
      </c>
      <c r="T145" s="1085" t="s">
        <v>463</v>
      </c>
    </row>
    <row r="146" spans="1:20" ht="30" customHeight="1" x14ac:dyDescent="0.2">
      <c r="A146" s="1073"/>
      <c r="B146" s="1074"/>
      <c r="C146" s="1082"/>
      <c r="D146" s="1074"/>
      <c r="E146" s="1030"/>
      <c r="F146" s="728">
        <v>24.8</v>
      </c>
      <c r="G146" s="733">
        <v>0.1</v>
      </c>
      <c r="H146" s="729">
        <v>-0.1</v>
      </c>
      <c r="I146" s="754">
        <v>0.2</v>
      </c>
      <c r="J146" s="1033"/>
      <c r="K146" s="1036"/>
      <c r="L146" s="1039"/>
      <c r="O146" s="1025" t="s">
        <v>221</v>
      </c>
      <c r="P146" s="777">
        <f>MAX(I145:I147)</f>
        <v>0.3</v>
      </c>
      <c r="Q146" s="778">
        <f>MAX(I148:I150)</f>
        <v>1.7</v>
      </c>
      <c r="R146" s="778">
        <f>MAX(I151:I153)</f>
        <v>9.9000000000000005E-2</v>
      </c>
      <c r="S146" s="1056"/>
      <c r="T146" s="1086"/>
    </row>
    <row r="147" spans="1:20" ht="30" customHeight="1" thickBot="1" x14ac:dyDescent="0.25">
      <c r="A147" s="1073"/>
      <c r="B147" s="1074"/>
      <c r="C147" s="1082"/>
      <c r="D147" s="1074"/>
      <c r="E147" s="1030"/>
      <c r="F147" s="723">
        <v>29.7</v>
      </c>
      <c r="G147" s="731">
        <v>0.1</v>
      </c>
      <c r="H147" s="755">
        <v>-0.3</v>
      </c>
      <c r="I147" s="757">
        <v>0.2</v>
      </c>
      <c r="J147" s="1034"/>
      <c r="K147" s="1037"/>
      <c r="L147" s="1040"/>
      <c r="O147" s="1026"/>
      <c r="P147" s="779"/>
      <c r="Q147" s="780"/>
      <c r="R147" s="780"/>
      <c r="S147" s="1057"/>
      <c r="T147" s="1087"/>
    </row>
    <row r="148" spans="1:20" ht="30" customHeight="1" x14ac:dyDescent="0.2">
      <c r="A148" s="1067" t="s">
        <v>213</v>
      </c>
      <c r="B148" s="1068"/>
      <c r="C148" s="1082"/>
      <c r="D148" s="1074"/>
      <c r="E148" s="1030"/>
      <c r="F148" s="715">
        <v>33.200000000000003</v>
      </c>
      <c r="G148" s="716">
        <v>0.1</v>
      </c>
      <c r="H148" s="716">
        <v>-3.2</v>
      </c>
      <c r="I148" s="748">
        <v>1.7</v>
      </c>
      <c r="J148" s="1069">
        <v>2</v>
      </c>
      <c r="K148" s="1035">
        <v>44020</v>
      </c>
      <c r="L148" s="1070" t="s">
        <v>460</v>
      </c>
      <c r="O148" s="54"/>
      <c r="P148" s="54"/>
      <c r="Q148" s="54"/>
      <c r="R148" s="54"/>
      <c r="T148" s="55"/>
    </row>
    <row r="149" spans="1:20" ht="30" customHeight="1" x14ac:dyDescent="0.2">
      <c r="A149" s="1067"/>
      <c r="B149" s="1068"/>
      <c r="C149" s="1082"/>
      <c r="D149" s="1074"/>
      <c r="E149" s="1030"/>
      <c r="F149" s="719">
        <v>51.4</v>
      </c>
      <c r="G149" s="733">
        <v>0.1</v>
      </c>
      <c r="H149" s="733">
        <v>-1.5</v>
      </c>
      <c r="I149" s="758">
        <v>1.7</v>
      </c>
      <c r="J149" s="1033"/>
      <c r="K149" s="1036"/>
      <c r="L149" s="1039"/>
      <c r="O149" s="54"/>
      <c r="P149" s="54"/>
      <c r="Q149" s="54"/>
      <c r="R149" s="54"/>
      <c r="T149" s="55"/>
    </row>
    <row r="150" spans="1:20" ht="30" customHeight="1" thickBot="1" x14ac:dyDescent="0.25">
      <c r="A150" s="1067"/>
      <c r="B150" s="1068"/>
      <c r="C150" s="1082"/>
      <c r="D150" s="1074"/>
      <c r="E150" s="1030"/>
      <c r="F150" s="730">
        <v>77.599999999999994</v>
      </c>
      <c r="G150" s="731">
        <v>0.1</v>
      </c>
      <c r="H150" s="731">
        <v>2.5</v>
      </c>
      <c r="I150" s="759">
        <v>1.7</v>
      </c>
      <c r="J150" s="1034"/>
      <c r="K150" s="1037"/>
      <c r="L150" s="1040"/>
      <c r="O150" s="54"/>
      <c r="P150" s="54"/>
      <c r="Q150" s="54"/>
      <c r="R150" s="54"/>
      <c r="T150" s="55"/>
    </row>
    <row r="151" spans="1:20" ht="30" customHeight="1" x14ac:dyDescent="0.2">
      <c r="A151" s="1067" t="s">
        <v>233</v>
      </c>
      <c r="B151" s="1068"/>
      <c r="C151" s="1082"/>
      <c r="D151" s="1074"/>
      <c r="E151" s="1030"/>
      <c r="F151" s="734">
        <v>598.08199999999999</v>
      </c>
      <c r="G151" s="716">
        <v>0.1</v>
      </c>
      <c r="H151" s="716">
        <v>1.4830000000000001</v>
      </c>
      <c r="I151" s="748">
        <v>0.08</v>
      </c>
      <c r="J151" s="1078">
        <v>1.96</v>
      </c>
      <c r="K151" s="1035">
        <v>43980</v>
      </c>
      <c r="L151" s="1084" t="s">
        <v>461</v>
      </c>
      <c r="O151" s="55"/>
      <c r="T151" s="55"/>
    </row>
    <row r="152" spans="1:20" ht="30" customHeight="1" x14ac:dyDescent="0.2">
      <c r="A152" s="1067"/>
      <c r="B152" s="1068"/>
      <c r="C152" s="1082"/>
      <c r="D152" s="1074"/>
      <c r="E152" s="1030"/>
      <c r="F152" s="719">
        <v>752.79499999999996</v>
      </c>
      <c r="G152" s="733">
        <v>0.1</v>
      </c>
      <c r="H152" s="749">
        <v>0.97299999999999998</v>
      </c>
      <c r="I152" s="744">
        <v>8.4000000000000005E-2</v>
      </c>
      <c r="J152" s="1079">
        <v>1.96</v>
      </c>
      <c r="K152" s="1036">
        <v>42586</v>
      </c>
      <c r="L152" s="1039" t="s">
        <v>192</v>
      </c>
      <c r="O152" s="55"/>
      <c r="T152" s="55"/>
    </row>
    <row r="153" spans="1:20" ht="30" customHeight="1" thickBot="1" x14ac:dyDescent="0.25">
      <c r="A153" s="1076"/>
      <c r="B153" s="1077"/>
      <c r="C153" s="1083"/>
      <c r="D153" s="1075"/>
      <c r="E153" s="1031"/>
      <c r="F153" s="730">
        <v>848.6</v>
      </c>
      <c r="G153" s="731">
        <v>0.1</v>
      </c>
      <c r="H153" s="731">
        <v>0.65600000000000003</v>
      </c>
      <c r="I153" s="746">
        <v>9.9000000000000005E-2</v>
      </c>
      <c r="J153" s="1080">
        <v>2</v>
      </c>
      <c r="K153" s="1037">
        <v>42625</v>
      </c>
      <c r="L153" s="1040" t="s">
        <v>193</v>
      </c>
      <c r="O153" s="55"/>
      <c r="T153" s="55"/>
    </row>
    <row r="154" spans="1:20" ht="30" customHeight="1" thickBot="1" x14ac:dyDescent="0.25"/>
    <row r="155" spans="1:20" ht="30" customHeight="1" thickBot="1" x14ac:dyDescent="0.25">
      <c r="A155" s="1017" t="s">
        <v>234</v>
      </c>
      <c r="B155" s="1018"/>
      <c r="C155" s="1018"/>
      <c r="D155" s="1018"/>
      <c r="E155" s="1018"/>
      <c r="F155" s="1019"/>
      <c r="H155" s="1017" t="s">
        <v>476</v>
      </c>
      <c r="I155" s="1018"/>
      <c r="J155" s="1018"/>
      <c r="K155" s="1019"/>
    </row>
    <row r="156" spans="1:20" ht="30" customHeight="1" thickBot="1" x14ac:dyDescent="0.25">
      <c r="A156" s="578" t="s">
        <v>99</v>
      </c>
      <c r="B156" s="1184" t="s">
        <v>279</v>
      </c>
      <c r="C156" s="1185"/>
      <c r="D156" s="1185"/>
      <c r="E156" s="1185"/>
      <c r="F156" s="1186"/>
      <c r="H156" s="1020" t="s">
        <v>259</v>
      </c>
      <c r="I156" s="1021"/>
      <c r="J156" s="1021"/>
      <c r="K156" s="1022"/>
    </row>
    <row r="157" spans="1:20" ht="30" customHeight="1" x14ac:dyDescent="0.2">
      <c r="A157" s="102"/>
      <c r="B157" s="1187"/>
      <c r="C157" s="1187"/>
      <c r="D157" s="1188"/>
      <c r="E157" s="1188"/>
      <c r="F157" s="170"/>
      <c r="H157" s="579">
        <v>5</v>
      </c>
      <c r="I157" s="520" t="s">
        <v>145</v>
      </c>
      <c r="J157" s="85">
        <v>8200</v>
      </c>
      <c r="K157" s="68"/>
    </row>
    <row r="158" spans="1:20" ht="30" customHeight="1" thickBot="1" x14ac:dyDescent="0.25">
      <c r="A158" s="86" t="s">
        <v>167</v>
      </c>
      <c r="B158" s="1180" t="s">
        <v>168</v>
      </c>
      <c r="C158" s="1180"/>
      <c r="D158" s="1181" t="s">
        <v>328</v>
      </c>
      <c r="E158" s="1181"/>
      <c r="F158" s="576" t="s">
        <v>475</v>
      </c>
      <c r="H158" s="580">
        <v>7.8E-2</v>
      </c>
      <c r="I158" s="581"/>
      <c r="J158" s="582">
        <v>5.0000000000000004E-6</v>
      </c>
      <c r="K158" s="583"/>
    </row>
    <row r="159" spans="1:20" ht="30" customHeight="1" thickBot="1" x14ac:dyDescent="0.25">
      <c r="A159" s="86" t="s">
        <v>169</v>
      </c>
      <c r="B159" s="1180" t="s">
        <v>170</v>
      </c>
      <c r="C159" s="1180"/>
      <c r="D159" s="1181" t="s">
        <v>329</v>
      </c>
      <c r="E159" s="1181"/>
      <c r="F159" s="576" t="s">
        <v>475</v>
      </c>
    </row>
    <row r="160" spans="1:20" ht="42.75" customHeight="1" thickBot="1" x14ac:dyDescent="0.25">
      <c r="A160" s="87" t="s">
        <v>326</v>
      </c>
      <c r="B160" s="1182" t="s">
        <v>330</v>
      </c>
      <c r="C160" s="1182"/>
      <c r="D160" s="1183" t="s">
        <v>329</v>
      </c>
      <c r="E160" s="1183"/>
      <c r="F160" s="577" t="s">
        <v>475</v>
      </c>
      <c r="G160" s="196" t="s">
        <v>232</v>
      </c>
      <c r="H160" s="197" t="str">
        <f>D100</f>
        <v>Fabricante</v>
      </c>
      <c r="I160" s="198" t="str">
        <f>E100</f>
        <v>Identificación / Serie</v>
      </c>
      <c r="J160" s="198" t="str">
        <f>S100</f>
        <v>Fecha de Calibración</v>
      </c>
      <c r="K160" s="198" t="str">
        <f>T100</f>
        <v>Trazabilidad y numero</v>
      </c>
      <c r="L160" s="198" t="s">
        <v>210</v>
      </c>
      <c r="M160" s="198" t="s">
        <v>376</v>
      </c>
      <c r="N160" s="198" t="s">
        <v>211</v>
      </c>
      <c r="O160" s="198" t="s">
        <v>250</v>
      </c>
      <c r="P160" s="198" t="s">
        <v>251</v>
      </c>
      <c r="Q160" s="198" t="s">
        <v>377</v>
      </c>
      <c r="R160" s="198" t="s">
        <v>378</v>
      </c>
      <c r="S160" s="198" t="s">
        <v>252</v>
      </c>
      <c r="T160" s="199" t="s">
        <v>253</v>
      </c>
    </row>
    <row r="161" spans="7:20" ht="50.1" customHeight="1" thickBot="1" x14ac:dyDescent="0.25">
      <c r="G161" s="172"/>
      <c r="H161" s="173"/>
      <c r="I161" s="173"/>
      <c r="J161" s="173"/>
      <c r="K161" s="173"/>
      <c r="L161" s="173"/>
      <c r="M161" s="173"/>
      <c r="N161" s="173"/>
      <c r="O161" s="173"/>
      <c r="P161" s="174"/>
      <c r="Q161" s="174"/>
      <c r="R161" s="174"/>
      <c r="S161" s="174"/>
      <c r="T161" s="89"/>
    </row>
    <row r="162" spans="7:20" ht="50.1" customHeight="1" x14ac:dyDescent="0.2">
      <c r="G162" s="760" t="str">
        <f>O104</f>
        <v>V-002</v>
      </c>
      <c r="H162" s="110" t="str">
        <f>D103</f>
        <v>Lufft Opus 20</v>
      </c>
      <c r="I162" s="761" t="str">
        <f>E103</f>
        <v>0,23.0714.0802.024</v>
      </c>
      <c r="J162" s="762" t="str">
        <f>S103</f>
        <v>2020-07-07 / 2020-7-08 / 2020-05-29</v>
      </c>
      <c r="K162" s="763" t="str">
        <f>T103</f>
        <v>INM  4629 - INM 4630 - INM 4626</v>
      </c>
      <c r="L162" s="110">
        <f>P104</f>
        <v>0.3</v>
      </c>
      <c r="M162" s="110">
        <f>Q104</f>
        <v>1.7</v>
      </c>
      <c r="N162" s="110">
        <f t="shared" ref="N162" si="22">R104</f>
        <v>9.6000000000000002E-2</v>
      </c>
      <c r="O162" s="113">
        <f>SLOPE(H103:H105,F103:F105)</f>
        <v>-6.0695118834653726E-3</v>
      </c>
      <c r="P162" s="113">
        <f>INTERCEPT(H103:H105,F103:F105)</f>
        <v>0.10727702530028116</v>
      </c>
      <c r="Q162" s="113">
        <f>SLOPE(H106:H108,F106:F108)</f>
        <v>0.1454156155702041</v>
      </c>
      <c r="R162" s="113">
        <f>INTERCEPT(H106:H108,F106:F108)</f>
        <v>-8.3663878253816613</v>
      </c>
      <c r="S162" s="113">
        <f>SLOPE(H109:H111,F109:F111)</f>
        <v>-3.0257969486283411E-3</v>
      </c>
      <c r="T162" s="764">
        <f>INTERCEPT(H109:H111,F109:F111)</f>
        <v>3.3404896034287122</v>
      </c>
    </row>
    <row r="163" spans="7:20" ht="50.1" customHeight="1" x14ac:dyDescent="0.2">
      <c r="G163" s="765" t="str">
        <f>O136</f>
        <v>M-010</v>
      </c>
      <c r="H163" s="103" t="str">
        <f>D135</f>
        <v>Lufft Opus 20</v>
      </c>
      <c r="I163" s="766" t="str">
        <f>E135</f>
        <v>0,26.0714.0802.024</v>
      </c>
      <c r="J163" s="767" t="str">
        <f>S135</f>
        <v>2020-06-18 2020-06-19- 2020-05-29</v>
      </c>
      <c r="K163" s="768" t="str">
        <f>T135</f>
        <v>INM 4608 - INM 4609 -   INM 4623</v>
      </c>
      <c r="L163" s="105">
        <f>P136</f>
        <v>0.3</v>
      </c>
      <c r="M163" s="105">
        <f>Q136</f>
        <v>1.7</v>
      </c>
      <c r="N163" s="106">
        <f t="shared" ref="N163" si="23">R136</f>
        <v>9.5000000000000001E-2</v>
      </c>
      <c r="O163" s="104">
        <f>SLOPE(H135:H137,F135:F137)</f>
        <v>-5.9336401065633333E-3</v>
      </c>
      <c r="P163" s="104">
        <f>INTERCEPT(H135:H137,F135:F137)</f>
        <v>0.10472269314604021</v>
      </c>
      <c r="Q163" s="104">
        <f>SLOPE(H138:H140,F138:F140)</f>
        <v>0.12190340402780254</v>
      </c>
      <c r="R163" s="104">
        <f>INTERCEPT(H138:H140,F138:F140)</f>
        <v>-7.1705934770985564</v>
      </c>
      <c r="S163" s="104">
        <f>SLOPE(H141:H143,F141:F143)</f>
        <v>-2.9793134128553089E-3</v>
      </c>
      <c r="T163" s="769">
        <f>INTERCEPT(H141:H143,F141:F143)</f>
        <v>3.2186527137291572</v>
      </c>
    </row>
    <row r="164" spans="7:20" ht="50.1" customHeight="1" x14ac:dyDescent="0.2">
      <c r="G164" s="765" t="str">
        <f>O146</f>
        <v>M-011</v>
      </c>
      <c r="H164" s="103" t="str">
        <f>D145</f>
        <v>Lufft Opus 20</v>
      </c>
      <c r="I164" s="770" t="str">
        <f>E145</f>
        <v>0,22.0714.0802.024</v>
      </c>
      <c r="J164" s="767" t="str">
        <f>S145</f>
        <v>2020-07-07 / 2020-07-08 / 2020-05-29</v>
      </c>
      <c r="K164" s="768" t="str">
        <f>T145</f>
        <v>INM-4627-INM 4628-INM 4624</v>
      </c>
      <c r="L164" s="105">
        <f>P146</f>
        <v>0.3</v>
      </c>
      <c r="M164" s="105">
        <f>Q146</f>
        <v>1.7</v>
      </c>
      <c r="N164" s="106">
        <f t="shared" ref="N164" si="24">R146</f>
        <v>9.9000000000000005E-2</v>
      </c>
      <c r="O164" s="104">
        <f>SLOPE(H145:H147,F145:F147)</f>
        <v>-3.3780112298496645E-2</v>
      </c>
      <c r="P164" s="104">
        <f>INTERCEPT(H145:H147,F145:F147)</f>
        <v>0.71703193865845549</v>
      </c>
      <c r="Q164" s="104">
        <f>SLOPE(H148:H150,F148:F150)</f>
        <v>0.130081899205096</v>
      </c>
      <c r="R164" s="104">
        <f>INTERCEPT(H148:H150,F148:F150)</f>
        <v>-7.7664280170221902</v>
      </c>
      <c r="S164" s="104">
        <f>SLOPE(H151:H153,F151:F153)</f>
        <v>-3.3007100073608104E-3</v>
      </c>
      <c r="T164" s="769">
        <f>INTERCEPT(H151:H153,F151:F153)</f>
        <v>3.4572785816199776</v>
      </c>
    </row>
    <row r="165" spans="7:20" ht="50.1" customHeight="1" x14ac:dyDescent="0.2">
      <c r="G165" s="765" t="str">
        <f>O115</f>
        <v xml:space="preserve">M-012  </v>
      </c>
      <c r="H165" s="103" t="str">
        <f>D114</f>
        <v>Lufft Opus 20</v>
      </c>
      <c r="I165" s="766">
        <f>E114</f>
        <v>19506160802033</v>
      </c>
      <c r="J165" s="767" t="str">
        <f>S114</f>
        <v>2020-06-18 / 2020-06-19/ 2020-05-29</v>
      </c>
      <c r="K165" s="768" t="str">
        <f>T114</f>
        <v>INM-4610, INM 4611 - INM 4625</v>
      </c>
      <c r="L165" s="103">
        <f>P115</f>
        <v>0.3</v>
      </c>
      <c r="M165" s="103">
        <f>Q115</f>
        <v>1.7</v>
      </c>
      <c r="N165" s="103">
        <f t="shared" ref="N165" si="25">R115</f>
        <v>0.15</v>
      </c>
      <c r="O165" s="104">
        <f>SLOPE(H114:H116,F114:F116)</f>
        <v>2.3901310717039322E-2</v>
      </c>
      <c r="P165" s="104">
        <f>INTERCEPT(H114:H116,F114:F116)</f>
        <v>-0.41878694423027496</v>
      </c>
      <c r="Q165" s="104">
        <f>SLOPE(H117:H119,F117:F119)</f>
        <v>0.14518834517177825</v>
      </c>
      <c r="R165" s="104">
        <f>INTERCEPT(H117:H119,F117:F119)</f>
        <v>-7.2471301262537358</v>
      </c>
      <c r="S165" s="104">
        <f>SLOPE(H120:H122,F120:F122)</f>
        <v>-2.0169926392810842E-3</v>
      </c>
      <c r="T165" s="769">
        <f>INTERCEPT(H120:H122,F120:F122)</f>
        <v>2.8938779877398297</v>
      </c>
    </row>
    <row r="166" spans="7:20" ht="50.1" customHeight="1" thickBot="1" x14ac:dyDescent="0.25">
      <c r="G166" s="771" t="str">
        <f>O126</f>
        <v xml:space="preserve">M-013  </v>
      </c>
      <c r="H166" s="107" t="str">
        <f>D125</f>
        <v>Lufft Opus 20</v>
      </c>
      <c r="I166" s="772">
        <f>E125</f>
        <v>19406160802033</v>
      </c>
      <c r="J166" s="773" t="str">
        <f>S125</f>
        <v xml:space="preserve">2019-09-24  / 2019-09-25  / 2020-10-02 </v>
      </c>
      <c r="K166" s="774" t="str">
        <f>T125</f>
        <v>INM 4216 - INM 4217 -  INM 4703</v>
      </c>
      <c r="L166" s="107">
        <f>P126</f>
        <v>0.3</v>
      </c>
      <c r="M166" s="107">
        <f>Q126</f>
        <v>1.7</v>
      </c>
      <c r="N166" s="107">
        <f t="shared" ref="N166" si="26">R126</f>
        <v>0.14000000000000001</v>
      </c>
      <c r="O166" s="108">
        <f>SLOPE(H125:H127,F125:F127)</f>
        <v>1.3499905595065769E-2</v>
      </c>
      <c r="P166" s="108">
        <f>INTERCEPT(H125:H127,F125:F127)</f>
        <v>-0.31364780665869468</v>
      </c>
      <c r="Q166" s="108">
        <f>SLOPE(H128:H130,F128:F130)</f>
        <v>0.101903287496585</v>
      </c>
      <c r="R166" s="108">
        <f>INTERCEPT(H128:H130,F128:F130)</f>
        <v>-5.6461160185775423</v>
      </c>
      <c r="S166" s="108">
        <f>SLOPE(H131:H133,F131:F133)</f>
        <v>-2.274176216186185E-3</v>
      </c>
      <c r="T166" s="775">
        <f>INTERCEPT(H131:H133,F131:F133)</f>
        <v>3.0586916237565838</v>
      </c>
    </row>
    <row r="200" spans="64:67" ht="35.1" customHeight="1" x14ac:dyDescent="0.25">
      <c r="BL200" s="88"/>
      <c r="BM200" s="88"/>
      <c r="BN200" s="88"/>
      <c r="BO200" s="88"/>
    </row>
    <row r="201" spans="64:67" ht="35.1" customHeight="1" x14ac:dyDescent="0.25">
      <c r="BL201" s="88"/>
      <c r="BM201" s="88"/>
      <c r="BN201" s="88"/>
      <c r="BO201" s="88"/>
    </row>
    <row r="202" spans="64:67" ht="35.1" customHeight="1" x14ac:dyDescent="0.25">
      <c r="BL202" s="88"/>
      <c r="BM202" s="88"/>
      <c r="BN202" s="88"/>
      <c r="BO202" s="88"/>
    </row>
    <row r="203" spans="64:67" ht="35.1" customHeight="1" x14ac:dyDescent="0.25">
      <c r="BL203" s="88"/>
      <c r="BM203" s="88"/>
      <c r="BN203" s="88"/>
      <c r="BO203" s="88"/>
    </row>
  </sheetData>
  <sheetProtection password="CF5C" sheet="1" objects="1" scenarios="1"/>
  <mergeCells count="168">
    <mergeCell ref="V25:V26"/>
    <mergeCell ref="C23:V24"/>
    <mergeCell ref="V38:V54"/>
    <mergeCell ref="V55:V70"/>
    <mergeCell ref="O25:O26"/>
    <mergeCell ref="M25:M26"/>
    <mergeCell ref="A155:F155"/>
    <mergeCell ref="S114:S116"/>
    <mergeCell ref="T114:T116"/>
    <mergeCell ref="A117:B119"/>
    <mergeCell ref="J117:J119"/>
    <mergeCell ref="K117:K119"/>
    <mergeCell ref="L117:L119"/>
    <mergeCell ref="J109:J111"/>
    <mergeCell ref="L100:L101"/>
    <mergeCell ref="O100:O101"/>
    <mergeCell ref="P100:R101"/>
    <mergeCell ref="C103:C111"/>
    <mergeCell ref="O104:O105"/>
    <mergeCell ref="E103:E111"/>
    <mergeCell ref="T103:T105"/>
    <mergeCell ref="D103:D111"/>
    <mergeCell ref="A106:B108"/>
    <mergeCell ref="K106:K108"/>
    <mergeCell ref="B158:C158"/>
    <mergeCell ref="D158:E158"/>
    <mergeCell ref="B159:C159"/>
    <mergeCell ref="D159:E159"/>
    <mergeCell ref="B160:C160"/>
    <mergeCell ref="D160:E160"/>
    <mergeCell ref="B156:F156"/>
    <mergeCell ref="B157:C157"/>
    <mergeCell ref="D157:E157"/>
    <mergeCell ref="C3:N4"/>
    <mergeCell ref="B28:B32"/>
    <mergeCell ref="U25:U26"/>
    <mergeCell ref="T25:T26"/>
    <mergeCell ref="R25:R26"/>
    <mergeCell ref="C25:C26"/>
    <mergeCell ref="D25:D26"/>
    <mergeCell ref="E25:E26"/>
    <mergeCell ref="F25:F26"/>
    <mergeCell ref="G25:G26"/>
    <mergeCell ref="H25:H26"/>
    <mergeCell ref="I25:I26"/>
    <mergeCell ref="J25:J26"/>
    <mergeCell ref="N25:N26"/>
    <mergeCell ref="P25:P26"/>
    <mergeCell ref="K25:K26"/>
    <mergeCell ref="L25:L26"/>
    <mergeCell ref="S25:S26"/>
    <mergeCell ref="C5:C6"/>
    <mergeCell ref="L14:L15"/>
    <mergeCell ref="D5:D6"/>
    <mergeCell ref="E5:E6"/>
    <mergeCell ref="F5:F6"/>
    <mergeCell ref="G5:G6"/>
    <mergeCell ref="H5:H6"/>
    <mergeCell ref="I5:I6"/>
    <mergeCell ref="J5:J6"/>
    <mergeCell ref="K5:K6"/>
    <mergeCell ref="C12:L13"/>
    <mergeCell ref="S100:S101"/>
    <mergeCell ref="T100:T101"/>
    <mergeCell ref="M5:M6"/>
    <mergeCell ref="N5:N6"/>
    <mergeCell ref="S103:S105"/>
    <mergeCell ref="K109:K111"/>
    <mergeCell ref="A103:B105"/>
    <mergeCell ref="J100:J101"/>
    <mergeCell ref="C14:C15"/>
    <mergeCell ref="D14:D15"/>
    <mergeCell ref="E14:E15"/>
    <mergeCell ref="F14:F15"/>
    <mergeCell ref="H14:H15"/>
    <mergeCell ref="I14:I15"/>
    <mergeCell ref="J14:J15"/>
    <mergeCell ref="K14:K15"/>
    <mergeCell ref="H100:H101"/>
    <mergeCell ref="I100:I101"/>
    <mergeCell ref="G14:G15"/>
    <mergeCell ref="K100:K101"/>
    <mergeCell ref="A120:B122"/>
    <mergeCell ref="A109:B111"/>
    <mergeCell ref="A114:B116"/>
    <mergeCell ref="D114:D122"/>
    <mergeCell ref="J114:J116"/>
    <mergeCell ref="K114:K116"/>
    <mergeCell ref="L114:L116"/>
    <mergeCell ref="L103:L105"/>
    <mergeCell ref="L106:L108"/>
    <mergeCell ref="L109:L111"/>
    <mergeCell ref="K103:K105"/>
    <mergeCell ref="J103:J105"/>
    <mergeCell ref="J106:J108"/>
    <mergeCell ref="S125:S127"/>
    <mergeCell ref="T125:T127"/>
    <mergeCell ref="A128:B130"/>
    <mergeCell ref="J128:J130"/>
    <mergeCell ref="K128:K130"/>
    <mergeCell ref="L128:L130"/>
    <mergeCell ref="K125:K127"/>
    <mergeCell ref="A131:B133"/>
    <mergeCell ref="J131:J133"/>
    <mergeCell ref="K131:K133"/>
    <mergeCell ref="L131:L133"/>
    <mergeCell ref="C125:C133"/>
    <mergeCell ref="L125:L127"/>
    <mergeCell ref="A125:B127"/>
    <mergeCell ref="D125:D133"/>
    <mergeCell ref="J125:J127"/>
    <mergeCell ref="J135:J137"/>
    <mergeCell ref="K135:K137"/>
    <mergeCell ref="L135:L137"/>
    <mergeCell ref="A141:B143"/>
    <mergeCell ref="J141:J143"/>
    <mergeCell ref="K141:K143"/>
    <mergeCell ref="L141:L143"/>
    <mergeCell ref="C135:C143"/>
    <mergeCell ref="L138:L140"/>
    <mergeCell ref="V28:V34"/>
    <mergeCell ref="V73:V91"/>
    <mergeCell ref="S145:S147"/>
    <mergeCell ref="A148:B150"/>
    <mergeCell ref="J148:J150"/>
    <mergeCell ref="K148:K150"/>
    <mergeCell ref="L148:L150"/>
    <mergeCell ref="A145:B147"/>
    <mergeCell ref="D145:D153"/>
    <mergeCell ref="J145:J147"/>
    <mergeCell ref="K145:K147"/>
    <mergeCell ref="A151:B153"/>
    <mergeCell ref="J151:J153"/>
    <mergeCell ref="K151:K153"/>
    <mergeCell ref="C145:C153"/>
    <mergeCell ref="L151:L153"/>
    <mergeCell ref="L145:L147"/>
    <mergeCell ref="T135:T137"/>
    <mergeCell ref="A138:B140"/>
    <mergeCell ref="T145:T147"/>
    <mergeCell ref="J138:J140"/>
    <mergeCell ref="K138:K140"/>
    <mergeCell ref="A135:B137"/>
    <mergeCell ref="D135:D143"/>
    <mergeCell ref="A1:E1"/>
    <mergeCell ref="F1:V1"/>
    <mergeCell ref="H155:K155"/>
    <mergeCell ref="H156:K156"/>
    <mergeCell ref="L5:L6"/>
    <mergeCell ref="O115:O116"/>
    <mergeCell ref="O126:O127"/>
    <mergeCell ref="O136:O137"/>
    <mergeCell ref="O146:O147"/>
    <mergeCell ref="E114:E122"/>
    <mergeCell ref="J120:J122"/>
    <mergeCell ref="K120:K122"/>
    <mergeCell ref="L120:L122"/>
    <mergeCell ref="E125:E133"/>
    <mergeCell ref="E135:E143"/>
    <mergeCell ref="E145:E153"/>
    <mergeCell ref="C97:T98"/>
    <mergeCell ref="C99:T99"/>
    <mergeCell ref="D100:D101"/>
    <mergeCell ref="E100:E101"/>
    <mergeCell ref="F100:F101"/>
    <mergeCell ref="G100:G101"/>
    <mergeCell ref="S135:S137"/>
    <mergeCell ref="C114:C122"/>
  </mergeCells>
  <phoneticPr fontId="63" type="noConversion"/>
  <printOptions horizontalCentered="1"/>
  <pageMargins left="0.23622047244094491" right="0.23622047244094491" top="0.74803149606299213" bottom="0.74803149606299213" header="0.31496062992125984" footer="0.31496062992125984"/>
  <pageSetup scale="22" orientation="portrait" horizontalDpi="4294967293" r:id="rId1"/>
  <headerFooter>
    <oddHeader xml:space="preserve">&amp;C
HOJA DE CÁLCULO PARA INSTRUMENTOS DE PESAJE DE FUNCIONAMIENTO NO AUTOMÁTICO - IPFNA&amp;R&amp;"-,Negrita"&amp;12
             </oddHeader>
    <oddFooter>&amp;R&amp;8
  RT03-F12  Vr.13 (2021-05-21)
Página  &amp;P de &amp;N</oddFooter>
  </headerFooter>
  <rowBreaks count="2" manualBreakCount="2">
    <brk id="91" max="16383" man="1"/>
    <brk id="113" max="16383" man="1"/>
  </rowBreaks>
  <ignoredErrors>
    <ignoredError sqref="P104:R104 P126:Q126 P136:R136 P146:R146 O162:O166 P162:P166 Q162:Q166 R162:R166 S162:S166 T162:T166"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7030A0"/>
  </sheetPr>
  <dimension ref="A1:Z154"/>
  <sheetViews>
    <sheetView showGridLines="0" view="pageBreakPreview" zoomScaleNormal="66" zoomScaleSheetLayoutView="100" workbookViewId="0">
      <selection activeCell="D1" sqref="D1:Q3"/>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0" width="16.7109375" style="6" customWidth="1"/>
    <col min="11" max="11" width="19.7109375" style="6" customWidth="1"/>
    <col min="12" max="12" width="19.42578125" style="1" customWidth="1"/>
    <col min="13" max="13" width="22.85546875" style="1" customWidth="1"/>
    <col min="14" max="16" width="18.7109375" style="1" customWidth="1"/>
    <col min="17" max="17" width="14.28515625" style="1" customWidth="1"/>
    <col min="18" max="18" width="11.28515625" style="474" hidden="1" customWidth="1"/>
    <col min="19" max="20" width="10.85546875" style="474" hidden="1" customWidth="1"/>
    <col min="21" max="21" width="12.28515625" style="474" hidden="1" customWidth="1"/>
    <col min="22" max="22" width="10.7109375" style="474" hidden="1" customWidth="1"/>
    <col min="23" max="23" width="7.140625" style="474" hidden="1" customWidth="1"/>
    <col min="24" max="24" width="5.85546875" style="474" hidden="1" customWidth="1"/>
    <col min="25" max="25" width="1.85546875" style="474" hidden="1" customWidth="1"/>
    <col min="26" max="16384" width="15.7109375" style="1"/>
  </cols>
  <sheetData>
    <row r="1" spans="1:25" ht="35.1" customHeight="1" x14ac:dyDescent="0.2">
      <c r="A1" s="1382"/>
      <c r="B1" s="1383"/>
      <c r="C1" s="1384"/>
      <c r="D1" s="1389" t="s">
        <v>518</v>
      </c>
      <c r="E1" s="1390"/>
      <c r="F1" s="1390"/>
      <c r="G1" s="1390"/>
      <c r="H1" s="1390"/>
      <c r="I1" s="1390"/>
      <c r="J1" s="1390"/>
      <c r="K1" s="1390"/>
      <c r="L1" s="1390"/>
      <c r="M1" s="1390"/>
      <c r="N1" s="1390"/>
      <c r="O1" s="1390"/>
      <c r="P1" s="1390"/>
      <c r="Q1" s="1391"/>
      <c r="R1" s="921"/>
      <c r="S1" s="921"/>
      <c r="T1" s="921"/>
      <c r="U1" s="921"/>
      <c r="V1" s="921"/>
    </row>
    <row r="2" spans="1:25" ht="35.1" customHeight="1" thickBot="1" x14ac:dyDescent="0.25">
      <c r="A2" s="1385"/>
      <c r="B2" s="1386"/>
      <c r="C2" s="1387"/>
      <c r="D2" s="1392"/>
      <c r="E2" s="1393"/>
      <c r="F2" s="1393"/>
      <c r="G2" s="1393"/>
      <c r="H2" s="1393"/>
      <c r="I2" s="1393"/>
      <c r="J2" s="1393"/>
      <c r="K2" s="1393"/>
      <c r="L2" s="1393"/>
      <c r="M2" s="1393"/>
      <c r="N2" s="1393"/>
      <c r="O2" s="1393"/>
      <c r="P2" s="1393"/>
      <c r="Q2" s="1394"/>
    </row>
    <row r="3" spans="1:25" ht="35.1" customHeight="1" thickBot="1" x14ac:dyDescent="0.25">
      <c r="A3" s="1388"/>
      <c r="B3" s="1388"/>
      <c r="C3" s="1388"/>
      <c r="D3" s="1395"/>
      <c r="E3" s="1396"/>
      <c r="F3" s="1396"/>
      <c r="G3" s="1396"/>
      <c r="H3" s="1396"/>
      <c r="I3" s="1396"/>
      <c r="J3" s="1396"/>
      <c r="K3" s="1396"/>
      <c r="L3" s="1396"/>
      <c r="M3" s="1396"/>
      <c r="N3" s="1396"/>
      <c r="O3" s="1396"/>
      <c r="P3" s="1396"/>
      <c r="Q3" s="1397"/>
    </row>
    <row r="4" spans="1:25" s="5" customFormat="1" ht="15" customHeight="1" thickBot="1" x14ac:dyDescent="0.25">
      <c r="A4" s="2"/>
      <c r="B4" s="2"/>
      <c r="C4" s="2"/>
      <c r="D4" s="2"/>
      <c r="E4" s="2"/>
      <c r="F4" s="2"/>
      <c r="G4" s="2"/>
      <c r="H4" s="2"/>
      <c r="I4" s="2"/>
      <c r="J4" s="2"/>
      <c r="K4" s="3"/>
      <c r="L4" s="4"/>
      <c r="R4" s="475"/>
      <c r="S4" s="475"/>
      <c r="T4" s="475"/>
      <c r="U4" s="475"/>
      <c r="V4" s="475"/>
      <c r="W4" s="475"/>
      <c r="X4" s="475"/>
      <c r="Y4" s="475"/>
    </row>
    <row r="5" spans="1:25" ht="44.25" customHeight="1" thickBot="1" x14ac:dyDescent="0.25">
      <c r="B5" s="42" t="s">
        <v>6</v>
      </c>
      <c r="C5" s="43" t="s">
        <v>100</v>
      </c>
      <c r="D5" s="43" t="s">
        <v>232</v>
      </c>
      <c r="E5" s="43" t="s">
        <v>101</v>
      </c>
      <c r="F5" s="43" t="s">
        <v>177</v>
      </c>
      <c r="G5" s="44" t="s">
        <v>7</v>
      </c>
      <c r="H5" s="44" t="s">
        <v>318</v>
      </c>
      <c r="I5" s="517" t="s">
        <v>2</v>
      </c>
      <c r="J5" s="1197"/>
      <c r="L5" s="7"/>
    </row>
    <row r="6" spans="1:25" ht="60" customHeight="1" thickBot="1" x14ac:dyDescent="0.25">
      <c r="A6" s="8"/>
      <c r="B6" s="40" t="e">
        <f>VLOOKUP($J$5,'DATOS % '!$C$7:$K$22,2,FALSE)</f>
        <v>#N/A</v>
      </c>
      <c r="C6" s="48" t="e">
        <f>VLOOKUP($J$5,'DATOS % '!$C$7:$K$22,3,FALSE)</f>
        <v>#N/A</v>
      </c>
      <c r="D6" s="40" t="e">
        <f>VLOOKUP($J$5,'DATOS % '!$C$7:$K$22,8,FALSE)</f>
        <v>#N/A</v>
      </c>
      <c r="E6" s="40" t="e">
        <f>VLOOKUP($J$5,'DATOS % '!$C$7:$K$22,6,FALSE)</f>
        <v>#N/A</v>
      </c>
      <c r="F6" s="48" t="e">
        <f>VLOOKUP($J$5,'DATOS % '!$C$7:$K$22,7,FALSE)</f>
        <v>#N/A</v>
      </c>
      <c r="G6" s="40" t="e">
        <f>VLOOKUP($J$5,'DATOS % '!$C$7:$K$22,4,FALSE)</f>
        <v>#N/A</v>
      </c>
      <c r="H6" s="40" t="e">
        <f>VLOOKUP($J$5,'DATOS % '!$C$7:$K$22,5,FALSE)</f>
        <v>#N/A</v>
      </c>
      <c r="I6" s="40" t="e">
        <f>VLOOKUP($J$5,'DATOS % '!$C$7:$K$22,9,FALSE)</f>
        <v>#N/A</v>
      </c>
      <c r="J6" s="1198"/>
      <c r="L6" s="7"/>
    </row>
    <row r="7" spans="1:25" ht="9.9499999999999993" customHeight="1" thickBot="1" x14ac:dyDescent="0.25">
      <c r="B7" s="9"/>
      <c r="C7" s="10"/>
      <c r="D7" s="11"/>
      <c r="E7" s="10"/>
      <c r="F7" s="9"/>
      <c r="G7" s="12"/>
      <c r="H7" s="13"/>
      <c r="I7" s="9"/>
      <c r="J7" s="10"/>
      <c r="K7" s="10"/>
      <c r="L7" s="7"/>
    </row>
    <row r="8" spans="1:25" ht="35.1" customHeight="1" thickBot="1" x14ac:dyDescent="0.25">
      <c r="B8" s="1199" t="s">
        <v>548</v>
      </c>
      <c r="C8" s="1200"/>
      <c r="D8" s="1200"/>
      <c r="E8" s="1201"/>
      <c r="F8" s="97"/>
      <c r="G8" s="1199" t="s">
        <v>186</v>
      </c>
      <c r="H8" s="1200"/>
      <c r="I8" s="1200"/>
      <c r="J8" s="1201"/>
      <c r="K8" s="819"/>
      <c r="L8" s="200"/>
    </row>
    <row r="9" spans="1:25" ht="35.1" customHeight="1" x14ac:dyDescent="0.2">
      <c r="B9" s="1297" t="s">
        <v>3</v>
      </c>
      <c r="C9" s="1298"/>
      <c r="D9" s="154" t="e">
        <f>VLOOKUP($F$8,'DATOS % '!$C$16:$L$22,2,FALSE)</f>
        <v>#N/A</v>
      </c>
      <c r="E9" s="155"/>
      <c r="F9" s="15"/>
      <c r="G9" s="1295" t="s">
        <v>187</v>
      </c>
      <c r="H9" s="1296"/>
      <c r="I9" s="1293" t="e">
        <f>VLOOKUP($K$8,'DATOS % '!$B$27:$S$89,1,FALSE)</f>
        <v>#N/A</v>
      </c>
      <c r="J9" s="1294"/>
      <c r="K9" s="14"/>
      <c r="L9" s="14"/>
    </row>
    <row r="10" spans="1:25" ht="35.1" customHeight="1" x14ac:dyDescent="0.2">
      <c r="B10" s="1299" t="s">
        <v>8</v>
      </c>
      <c r="C10" s="1300"/>
      <c r="D10" s="45" t="e">
        <f>VLOOKUP($F$8,'DATOS % '!$C$16:$L$22,3,FALSE)</f>
        <v>#N/A</v>
      </c>
      <c r="E10" s="156"/>
      <c r="F10" s="15"/>
      <c r="G10" s="1301" t="s">
        <v>3</v>
      </c>
      <c r="H10" s="1302"/>
      <c r="I10" s="1303" t="e">
        <f>VLOOKUP($K$8,'DATOS % '!$B$27:$V$89,4,FALSE)</f>
        <v>#N/A</v>
      </c>
      <c r="J10" s="1304"/>
      <c r="L10" s="14"/>
      <c r="M10" s="16"/>
      <c r="N10" s="16"/>
      <c r="O10" s="16"/>
      <c r="P10" s="16"/>
    </row>
    <row r="11" spans="1:25" ht="35.1" customHeight="1" x14ac:dyDescent="0.2">
      <c r="B11" s="1299" t="s">
        <v>1</v>
      </c>
      <c r="C11" s="1300"/>
      <c r="D11" s="47" t="e">
        <f>VLOOKUP($F$8,'DATOS % '!$C$16:$L$22,4,FALSE)</f>
        <v>#N/A</v>
      </c>
      <c r="E11" s="179"/>
      <c r="F11" s="15"/>
      <c r="G11" s="1409" t="s">
        <v>0</v>
      </c>
      <c r="H11" s="1410"/>
      <c r="I11" s="1303" t="e">
        <f>VLOOKUP($K$8,'DATOS % '!$B$27:$V$89,3,FALSE)</f>
        <v>#N/A</v>
      </c>
      <c r="J11" s="1304"/>
      <c r="K11" s="14"/>
      <c r="L11" s="14"/>
      <c r="P11" s="16"/>
    </row>
    <row r="12" spans="1:25" s="16" customFormat="1" ht="35.1" customHeight="1" x14ac:dyDescent="0.2">
      <c r="B12" s="1299" t="s">
        <v>204</v>
      </c>
      <c r="C12" s="1329"/>
      <c r="D12" s="816" t="e">
        <f>VLOOKUP($F$8,'DATOS % '!$C$16:$L$22,5,FALSE)</f>
        <v>#N/A</v>
      </c>
      <c r="E12" s="156"/>
      <c r="F12" s="17"/>
      <c r="G12" s="1301" t="s">
        <v>2</v>
      </c>
      <c r="H12" s="1302"/>
      <c r="I12" s="1330" t="e">
        <f>VLOOKUP($K$8,'DATOS % '!$B$27:$V$89,7,FALSE)</f>
        <v>#N/A</v>
      </c>
      <c r="J12" s="1331"/>
      <c r="K12" s="10"/>
      <c r="L12" s="18"/>
      <c r="Q12" s="1"/>
      <c r="R12" s="474"/>
      <c r="S12" s="474"/>
      <c r="T12" s="474"/>
      <c r="U12" s="476"/>
      <c r="V12" s="476"/>
      <c r="W12" s="476"/>
      <c r="X12" s="476"/>
      <c r="Y12" s="476"/>
    </row>
    <row r="13" spans="1:25" s="16" customFormat="1" ht="35.1" customHeight="1" x14ac:dyDescent="0.2">
      <c r="B13" s="1301" t="s">
        <v>521</v>
      </c>
      <c r="C13" s="1302"/>
      <c r="D13" s="47" t="e">
        <f>VLOOKUP($F$8,'DATOS % '!$C$16:$L$22,6,FALSE)</f>
        <v>#N/A</v>
      </c>
      <c r="E13" s="156"/>
      <c r="F13" s="17"/>
      <c r="G13" s="1301" t="s">
        <v>177</v>
      </c>
      <c r="H13" s="1302"/>
      <c r="I13" s="1332" t="e">
        <f>VLOOKUP($K$8,'DATOS % '!$B$27:$V$89,8,FALSE)</f>
        <v>#N/A</v>
      </c>
      <c r="J13" s="1333"/>
      <c r="K13" s="10"/>
      <c r="L13" s="18"/>
      <c r="R13" s="476"/>
      <c r="S13" s="476"/>
      <c r="T13" s="476"/>
      <c r="U13" s="476"/>
      <c r="V13" s="476"/>
      <c r="W13" s="476"/>
      <c r="X13" s="476"/>
      <c r="Y13" s="476"/>
    </row>
    <row r="14" spans="1:25" s="16" customFormat="1" ht="35.1" customHeight="1" x14ac:dyDescent="0.2">
      <c r="B14" s="1352" t="s">
        <v>198</v>
      </c>
      <c r="C14" s="1353"/>
      <c r="D14" s="46" t="e">
        <f>VLOOKUP($F$8,'DATOS % '!$C$16:$L$22,7,FALSE)</f>
        <v>#N/A</v>
      </c>
      <c r="E14" s="156"/>
      <c r="F14" s="17"/>
      <c r="G14" s="1301" t="s">
        <v>84</v>
      </c>
      <c r="H14" s="1302"/>
      <c r="I14" s="1303" t="e">
        <f>VLOOKUP($K$8,'DATOS % '!$B$27:$V$89,20,FALSE)</f>
        <v>#N/A</v>
      </c>
      <c r="J14" s="1304"/>
      <c r="K14" s="10"/>
      <c r="L14" s="18"/>
      <c r="R14" s="476"/>
      <c r="S14" s="476"/>
      <c r="T14" s="476"/>
      <c r="U14" s="476"/>
      <c r="V14" s="476"/>
      <c r="W14" s="476"/>
      <c r="X14" s="476"/>
      <c r="Y14" s="476"/>
    </row>
    <row r="15" spans="1:25" s="16" customFormat="1" ht="35.1" customHeight="1" thickBot="1" x14ac:dyDescent="0.25">
      <c r="B15" s="1411" t="s">
        <v>199</v>
      </c>
      <c r="C15" s="1412"/>
      <c r="D15" s="157" t="e">
        <f>VLOOKUP($F$8,'DATOS % '!$C$16:$L$22,8,FALSE)</f>
        <v>#N/A</v>
      </c>
      <c r="E15" s="158"/>
      <c r="F15" s="17"/>
      <c r="G15" s="1415" t="s">
        <v>232</v>
      </c>
      <c r="H15" s="1416"/>
      <c r="I15" s="1417" t="e">
        <f>VLOOKUP($K$8,'DATOS % '!$B$27:$V$89,19,FALSE)</f>
        <v>#N/A</v>
      </c>
      <c r="J15" s="1418"/>
      <c r="K15" s="10"/>
      <c r="L15" s="10"/>
      <c r="R15" s="476"/>
      <c r="S15" s="476"/>
      <c r="T15" s="476"/>
      <c r="U15" s="476"/>
      <c r="V15" s="476"/>
      <c r="X15" s="476"/>
      <c r="Y15" s="476"/>
    </row>
    <row r="16" spans="1:25" s="16" customFormat="1" ht="9.9499999999999993" customHeight="1" thickBot="1" x14ac:dyDescent="0.3">
      <c r="B16" s="19"/>
      <c r="C16" s="19"/>
      <c r="D16" s="19"/>
      <c r="E16" s="476"/>
      <c r="F16" s="476"/>
      <c r="G16" s="476"/>
      <c r="H16" s="476"/>
      <c r="I16" s="476"/>
      <c r="J16" s="476"/>
      <c r="K16" s="476"/>
      <c r="V16" s="476"/>
    </row>
    <row r="17" spans="1:25" s="16" customFormat="1" ht="35.1" customHeight="1" thickBot="1" x14ac:dyDescent="0.3">
      <c r="B17" s="1231" t="s">
        <v>9</v>
      </c>
      <c r="C17" s="1232"/>
      <c r="D17" s="1200"/>
      <c r="E17" s="1200"/>
      <c r="F17" s="1200"/>
      <c r="G17" s="1200"/>
      <c r="H17" s="1200"/>
      <c r="I17" s="1200"/>
      <c r="J17" s="1201"/>
      <c r="K17" s="476"/>
    </row>
    <row r="18" spans="1:25" s="16" customFormat="1" ht="35.1" customHeight="1" thickBot="1" x14ac:dyDescent="0.3">
      <c r="B18" s="1253" t="s">
        <v>73</v>
      </c>
      <c r="C18" s="1254"/>
      <c r="D18" s="1305"/>
      <c r="E18" s="927"/>
      <c r="F18" s="1307"/>
      <c r="G18" s="1309" t="s">
        <v>533</v>
      </c>
      <c r="H18" s="1310"/>
      <c r="I18" s="1310"/>
      <c r="J18" s="1311"/>
      <c r="K18" s="10"/>
    </row>
    <row r="19" spans="1:25" s="16" customFormat="1" ht="35.1" customHeight="1" thickBot="1" x14ac:dyDescent="0.3">
      <c r="B19" s="1255"/>
      <c r="C19" s="1256"/>
      <c r="D19" s="1306"/>
      <c r="E19" s="518"/>
      <c r="F19" s="1308"/>
      <c r="G19" s="1283" t="s">
        <v>74</v>
      </c>
      <c r="H19" s="1285" t="s">
        <v>513</v>
      </c>
      <c r="I19" s="1285" t="s">
        <v>514</v>
      </c>
      <c r="J19" s="1287" t="s">
        <v>515</v>
      </c>
      <c r="K19" s="10"/>
    </row>
    <row r="20" spans="1:25" s="16" customFormat="1" ht="35.1" customHeight="1" thickBot="1" x14ac:dyDescent="0.3">
      <c r="B20" s="1257"/>
      <c r="C20" s="1258"/>
      <c r="D20" s="1279"/>
      <c r="E20" s="1280"/>
      <c r="F20" s="1280"/>
      <c r="G20" s="1284"/>
      <c r="H20" s="1286"/>
      <c r="I20" s="1286"/>
      <c r="J20" s="1288"/>
      <c r="K20" s="10"/>
    </row>
    <row r="21" spans="1:25" s="16" customFormat="1" ht="35.1" customHeight="1" thickBot="1" x14ac:dyDescent="0.3">
      <c r="B21" s="1253" t="s">
        <v>10</v>
      </c>
      <c r="C21" s="1254"/>
      <c r="D21" s="1281"/>
      <c r="E21" s="1282"/>
      <c r="F21" s="1282"/>
      <c r="G21" s="923" t="e">
        <f>VLOOKUP($K$21,'DATOS % '!$C$27:$V$92,8,FALSE)</f>
        <v>#N/A</v>
      </c>
      <c r="H21" s="924" t="e">
        <f>VLOOKUP($K$21,'DATOS % '!$C$27:$V$92,14,FALSE)</f>
        <v>#N/A</v>
      </c>
      <c r="I21" s="925" t="e">
        <f>VLOOKUP($K$21,'DATOS % '!$C$27:$V$92,16,FALSE)</f>
        <v>#N/A</v>
      </c>
      <c r="J21" s="926" t="e">
        <f>VLOOKUP($K$21,'DATOS % '!$C$27:$V$92,5,FALSE)</f>
        <v>#N/A</v>
      </c>
      <c r="K21" s="817"/>
    </row>
    <row r="22" spans="1:25" s="16" customFormat="1" ht="35.1" customHeight="1" thickBot="1" x14ac:dyDescent="0.3">
      <c r="B22" s="1255"/>
      <c r="C22" s="1256"/>
      <c r="D22" s="518"/>
      <c r="E22" s="518"/>
      <c r="F22" s="519"/>
      <c r="G22" s="522" t="e">
        <f>VLOOKUP($K$22,'DATOS % '!$C$27:$V$92,8,FALSE)</f>
        <v>#N/A</v>
      </c>
      <c r="H22" s="262" t="e">
        <f>VLOOKUP($K$22,'DATOS % '!$C$27:$V$92,14,FALSE)</f>
        <v>#N/A</v>
      </c>
      <c r="I22" s="41" t="e">
        <f>VLOOKUP($K$22,'DATOS % '!$C$27:$V$92,16,FALSE)</f>
        <v>#N/A</v>
      </c>
      <c r="J22" s="153" t="e">
        <f>VLOOKUP($K$22,'DATOS % '!$C$27:$V$92,5,FALSE)</f>
        <v>#N/A</v>
      </c>
      <c r="K22" s="817"/>
      <c r="L22" s="10"/>
      <c r="Q22" s="476"/>
      <c r="R22" s="476"/>
      <c r="S22" s="476"/>
      <c r="T22" s="476"/>
      <c r="U22" s="476"/>
      <c r="V22" s="476"/>
      <c r="W22" s="476"/>
      <c r="X22" s="476"/>
      <c r="Y22" s="476"/>
    </row>
    <row r="23" spans="1:25" s="16" customFormat="1" ht="35.1" customHeight="1" thickBot="1" x14ac:dyDescent="0.3">
      <c r="A23" s="19"/>
      <c r="B23" s="1257"/>
      <c r="C23" s="1258"/>
      <c r="D23" s="1272"/>
      <c r="E23" s="1273"/>
      <c r="F23" s="1273"/>
      <c r="G23" s="522" t="e">
        <f>VLOOKUP($K$23,'DATOS % '!$C$27:$V$92,8,FALSE)</f>
        <v>#N/A</v>
      </c>
      <c r="H23" s="262" t="e">
        <f>VLOOKUP($K$23,'DATOS % '!$C$27:$V$92,14,FALSE)</f>
        <v>#N/A</v>
      </c>
      <c r="I23" s="175" t="e">
        <f>VLOOKUP($K$23,'DATOS % '!$C$27:$V$92,16,FALSE)</f>
        <v>#N/A</v>
      </c>
      <c r="J23" s="153" t="e">
        <f>VLOOKUP($K$23,'DATOS % '!$C$27:$V$92,5,FALSE)</f>
        <v>#N/A</v>
      </c>
      <c r="K23" s="818"/>
      <c r="L23" s="10"/>
      <c r="R23" s="476"/>
      <c r="S23" s="476"/>
      <c r="T23" s="476"/>
      <c r="U23" s="476"/>
      <c r="V23" s="476"/>
      <c r="W23" s="476"/>
      <c r="X23" s="476"/>
      <c r="Y23" s="476"/>
    </row>
    <row r="24" spans="1:25" s="16" customFormat="1" ht="35.1" customHeight="1" thickBot="1" x14ac:dyDescent="0.3">
      <c r="A24" s="19"/>
      <c r="C24" s="1274" t="s">
        <v>418</v>
      </c>
      <c r="D24" s="1275"/>
      <c r="E24" s="159"/>
      <c r="G24" s="522" t="e">
        <f>VLOOKUP($K$24,'DATOS % '!$C$27:$V$92,8,FALSE)</f>
        <v>#N/A</v>
      </c>
      <c r="H24" s="262" t="e">
        <f>VLOOKUP($K$24,'DATOS % '!$C$27:$V$92,14,FALSE)</f>
        <v>#N/A</v>
      </c>
      <c r="I24" s="175" t="e">
        <f>VLOOKUP($K$24,'DATOS % '!$C$27:$V$92,16,FALSE)</f>
        <v>#N/A</v>
      </c>
      <c r="J24" s="153" t="e">
        <f>VLOOKUP($K$24,'DATOS % '!$C$27:$V$92,5,FALSE)</f>
        <v>#N/A</v>
      </c>
      <c r="K24" s="817"/>
      <c r="L24" s="566"/>
      <c r="R24" s="476"/>
      <c r="S24" s="476"/>
      <c r="T24" s="476"/>
      <c r="U24" s="476"/>
      <c r="V24" s="476"/>
      <c r="W24" s="476"/>
      <c r="X24" s="476"/>
      <c r="Y24" s="476"/>
    </row>
    <row r="25" spans="1:25" s="16" customFormat="1" ht="35.1" customHeight="1" thickBot="1" x14ac:dyDescent="0.3">
      <c r="A25" s="20"/>
      <c r="B25" s="282" t="s">
        <v>185</v>
      </c>
      <c r="C25" s="384" t="s">
        <v>87</v>
      </c>
      <c r="D25" s="385" t="s">
        <v>532</v>
      </c>
      <c r="E25" s="380" t="s">
        <v>103</v>
      </c>
      <c r="G25" s="523" t="e">
        <f>VLOOKUP($K$25,'DATOS % '!$C$27:$V$92,8,FALSE)</f>
        <v>#N/A</v>
      </c>
      <c r="H25" s="567" t="e">
        <f>VLOOKUP($K$25,'DATOS % '!$C$27:$V$92,14,FALSE)</f>
        <v>#N/A</v>
      </c>
      <c r="I25" s="446" t="e">
        <f>VLOOKUP($K$25,'DATOS % '!$C$27:$V$92,16,FALSE)</f>
        <v>#N/A</v>
      </c>
      <c r="J25" s="152" t="e">
        <f>VLOOKUP($K$25,'DATOS % '!$C$27:$V$92,5,FALSE)</f>
        <v>#N/A</v>
      </c>
      <c r="K25" s="817"/>
      <c r="R25" s="476"/>
      <c r="S25" s="476"/>
      <c r="T25" s="476"/>
      <c r="U25" s="476"/>
      <c r="V25" s="476"/>
      <c r="W25" s="476"/>
      <c r="X25" s="476"/>
      <c r="Y25" s="476"/>
    </row>
    <row r="26" spans="1:25" s="16" customFormat="1" ht="35.1" customHeight="1" thickBot="1" x14ac:dyDescent="0.3">
      <c r="A26" s="19"/>
      <c r="B26" s="381" t="e">
        <f>VLOOKUP($E$24,'DATOS % '!$C$27:$V$89,8,FALSE)</f>
        <v>#N/A</v>
      </c>
      <c r="C26" s="382" t="e">
        <f>VLOOKUP($E$24,'DATOS % '!$C$27:$V$89,14,FALSE)</f>
        <v>#N/A</v>
      </c>
      <c r="D26" s="382" t="e">
        <f>VLOOKUP($E$24,'DATOS % '!$C$27:$V$89,16,FALSE)</f>
        <v>#N/A</v>
      </c>
      <c r="E26" s="383" t="e">
        <f>VLOOKUP($E$24,'DATOS % '!$C$27:$V$89,5,FALSE)</f>
        <v>#N/A</v>
      </c>
      <c r="R26" s="476"/>
      <c r="S26" s="476"/>
      <c r="T26" s="476"/>
      <c r="U26" s="476"/>
      <c r="V26" s="476"/>
      <c r="W26" s="476"/>
      <c r="X26" s="476"/>
      <c r="Y26" s="476"/>
    </row>
    <row r="27" spans="1:25" s="16" customFormat="1" ht="36" customHeight="1" thickBot="1" x14ac:dyDescent="0.3">
      <c r="A27" s="19"/>
      <c r="B27" s="1334" t="s">
        <v>205</v>
      </c>
      <c r="C27" s="1335"/>
      <c r="D27" s="1335"/>
      <c r="E27" s="1335"/>
      <c r="F27" s="1335"/>
      <c r="G27" s="1335"/>
      <c r="H27" s="1335"/>
      <c r="I27" s="1335"/>
      <c r="J27" s="1335"/>
      <c r="K27" s="1336"/>
      <c r="R27" s="476"/>
      <c r="S27" s="476"/>
      <c r="T27" s="476"/>
      <c r="U27" s="476"/>
      <c r="V27" s="476"/>
      <c r="W27" s="476"/>
      <c r="X27" s="476"/>
      <c r="Y27" s="476"/>
    </row>
    <row r="28" spans="1:25" ht="49.5" customHeight="1" x14ac:dyDescent="0.25">
      <c r="A28" s="19"/>
      <c r="B28" s="143" t="s">
        <v>3</v>
      </c>
      <c r="C28" s="144" t="e">
        <f>VLOOKUP($K$28,'DATOS % '!$G$154:$T$167,2,FALSE)</f>
        <v>#N/A</v>
      </c>
      <c r="D28" s="145" t="s">
        <v>66</v>
      </c>
      <c r="E28" s="146" t="e">
        <f>VLOOKUP($K$28,'DATOS % '!$G$154:$T$167,3,FALSE)</f>
        <v>#N/A</v>
      </c>
      <c r="F28" s="147" t="s">
        <v>2</v>
      </c>
      <c r="G28" s="1337" t="e">
        <f>VLOOKUP($K$28,'DATOS % '!$G$154:$T$167,5,FALSE)</f>
        <v>#N/A</v>
      </c>
      <c r="H28" s="1338"/>
      <c r="I28" s="145" t="s">
        <v>206</v>
      </c>
      <c r="J28" s="148" t="e">
        <f>VLOOKUP($K$28,'DATOS % '!$G$154:$T$167,4,FALSE)</f>
        <v>#N/A</v>
      </c>
      <c r="K28" s="1236"/>
    </row>
    <row r="29" spans="1:25" ht="35.1" customHeight="1" thickBot="1" x14ac:dyDescent="0.3">
      <c r="A29" s="19"/>
      <c r="B29" s="1251" t="s">
        <v>208</v>
      </c>
      <c r="C29" s="1252"/>
      <c r="D29" s="149" t="s">
        <v>5</v>
      </c>
      <c r="E29" s="150" t="e">
        <f>VLOOKUP($K$28,'DATOS % '!$G$154:$T$167,6,FALSE)</f>
        <v>#N/A</v>
      </c>
      <c r="F29" s="1339" t="s">
        <v>384</v>
      </c>
      <c r="G29" s="1340"/>
      <c r="H29" s="150" t="e">
        <f>VLOOKUP($K$28,'DATOS % '!$G$154:$T$167,7,FALSE)</f>
        <v>#N/A</v>
      </c>
      <c r="I29" s="151" t="s">
        <v>4</v>
      </c>
      <c r="J29" s="152" t="e">
        <f>VLOOKUP($K$28,'DATOS % '!$G$154:$T$167,8,FALSE)</f>
        <v>#N/A</v>
      </c>
      <c r="K29" s="1237"/>
    </row>
    <row r="30" spans="1:25" ht="35.1" customHeight="1" thickBot="1" x14ac:dyDescent="0.3">
      <c r="A30" s="19"/>
      <c r="B30" s="1"/>
      <c r="C30" s="1"/>
      <c r="D30" s="1"/>
      <c r="E30" s="1"/>
      <c r="F30" s="1"/>
      <c r="G30" s="1"/>
      <c r="H30" s="1"/>
      <c r="I30" s="1"/>
      <c r="J30" s="1"/>
      <c r="K30" s="1"/>
    </row>
    <row r="31" spans="1:25" ht="35.1" customHeight="1" thickBot="1" x14ac:dyDescent="0.25">
      <c r="A31" s="21"/>
      <c r="B31" s="1199" t="s">
        <v>49</v>
      </c>
      <c r="C31" s="1200"/>
      <c r="D31" s="1200"/>
      <c r="E31" s="1200"/>
      <c r="F31" s="1200"/>
      <c r="G31" s="1200"/>
      <c r="H31" s="1200"/>
      <c r="I31" s="1201"/>
      <c r="K31" s="1341" t="s">
        <v>383</v>
      </c>
      <c r="L31" s="1342"/>
    </row>
    <row r="32" spans="1:25" ht="38.25" customHeight="1" thickBot="1" x14ac:dyDescent="0.25">
      <c r="B32" s="203" t="s">
        <v>225</v>
      </c>
      <c r="C32" s="820"/>
      <c r="D32" s="237" t="s">
        <v>5</v>
      </c>
      <c r="E32" s="238"/>
      <c r="F32" s="44" t="s">
        <v>384</v>
      </c>
      <c r="G32" s="238"/>
      <c r="H32" s="234" t="s">
        <v>4</v>
      </c>
      <c r="I32" s="239"/>
      <c r="K32" s="22" t="s">
        <v>44</v>
      </c>
      <c r="L32" s="350" t="e">
        <f>VLOOKUP($K$8,'DATOS % '!$B$27:$V$89,21,FALSE)</f>
        <v>#N/A</v>
      </c>
    </row>
    <row r="33" spans="1:25" ht="35.1" customHeight="1" thickBot="1" x14ac:dyDescent="0.25">
      <c r="A33" s="6"/>
      <c r="B33" s="1276" t="s">
        <v>11</v>
      </c>
      <c r="C33" s="1277"/>
      <c r="D33" s="1277"/>
      <c r="E33" s="1277"/>
      <c r="F33" s="1277"/>
      <c r="G33" s="1278"/>
    </row>
    <row r="34" spans="1:25" ht="35.1" customHeight="1" thickBot="1" x14ac:dyDescent="0.25">
      <c r="A34" s="6"/>
      <c r="C34" s="233" t="s">
        <v>46</v>
      </c>
      <c r="D34" s="234" t="s">
        <v>45</v>
      </c>
      <c r="E34" s="235">
        <f>E19</f>
        <v>0</v>
      </c>
      <c r="F34" s="234" t="s">
        <v>39</v>
      </c>
      <c r="G34" s="236">
        <f>E34*1000</f>
        <v>0</v>
      </c>
    </row>
    <row r="35" spans="1:25" ht="35.1" customHeight="1" x14ac:dyDescent="0.2">
      <c r="A35" s="6"/>
      <c r="B35" s="360" t="s">
        <v>12</v>
      </c>
      <c r="C35" s="355">
        <v>1</v>
      </c>
      <c r="D35" s="138">
        <v>2</v>
      </c>
      <c r="E35" s="138">
        <v>3</v>
      </c>
      <c r="F35" s="138">
        <v>4</v>
      </c>
      <c r="G35" s="139">
        <v>5</v>
      </c>
    </row>
    <row r="36" spans="1:25" ht="35.1" customHeight="1" x14ac:dyDescent="0.2">
      <c r="A36" s="6"/>
      <c r="B36" s="361" t="s">
        <v>200</v>
      </c>
      <c r="C36" s="356"/>
      <c r="D36" s="218"/>
      <c r="E36" s="218"/>
      <c r="F36" s="218"/>
      <c r="G36" s="231"/>
    </row>
    <row r="37" spans="1:25" ht="35.1" customHeight="1" x14ac:dyDescent="0.2">
      <c r="A37" s="6"/>
      <c r="B37" s="361" t="s">
        <v>13</v>
      </c>
      <c r="C37" s="357">
        <f>$C$36-C36</f>
        <v>0</v>
      </c>
      <c r="D37" s="23">
        <f t="shared" ref="D37:G37" si="0">$C$36-D36</f>
        <v>0</v>
      </c>
      <c r="E37" s="23">
        <f t="shared" si="0"/>
        <v>0</v>
      </c>
      <c r="F37" s="23">
        <f>$C$36-F36</f>
        <v>0</v>
      </c>
      <c r="G37" s="140">
        <f t="shared" si="0"/>
        <v>0</v>
      </c>
    </row>
    <row r="38" spans="1:25" ht="35.1" customHeight="1" thickBot="1" x14ac:dyDescent="0.25">
      <c r="A38" s="6"/>
      <c r="B38" s="362" t="s">
        <v>38</v>
      </c>
      <c r="C38" s="358">
        <f>ABS(C37)</f>
        <v>0</v>
      </c>
      <c r="D38" s="141">
        <f>ABS(D37)</f>
        <v>0</v>
      </c>
      <c r="E38" s="141">
        <f t="shared" ref="E38:G38" si="1">ABS(E37)</f>
        <v>0</v>
      </c>
      <c r="F38" s="141">
        <f t="shared" si="1"/>
        <v>0</v>
      </c>
      <c r="G38" s="142">
        <f t="shared" si="1"/>
        <v>0</v>
      </c>
    </row>
    <row r="39" spans="1:25" ht="35.1" customHeight="1" thickBot="1" x14ac:dyDescent="0.3">
      <c r="A39" s="6"/>
      <c r="B39" s="232" t="s">
        <v>39</v>
      </c>
      <c r="C39" s="359">
        <f>MAX(C38:G38)*1000</f>
        <v>0</v>
      </c>
      <c r="D39" s="24"/>
      <c r="E39" s="24"/>
      <c r="F39" s="24"/>
      <c r="G39" s="24"/>
    </row>
    <row r="40" spans="1:25" ht="9.9499999999999993" customHeight="1" thickBot="1" x14ac:dyDescent="0.25">
      <c r="A40" s="6"/>
    </row>
    <row r="41" spans="1:25" ht="35.1" customHeight="1" thickBot="1" x14ac:dyDescent="0.25">
      <c r="B41" s="1199" t="s">
        <v>14</v>
      </c>
      <c r="C41" s="1200"/>
      <c r="D41" s="1200"/>
      <c r="E41" s="1200"/>
      <c r="F41" s="1200"/>
      <c r="G41" s="1200"/>
      <c r="H41" s="1200"/>
      <c r="I41" s="1200"/>
      <c r="J41" s="1200"/>
      <c r="K41" s="1201"/>
      <c r="M41" s="1421" t="s">
        <v>83</v>
      </c>
      <c r="N41" s="1422"/>
      <c r="O41" s="1423"/>
    </row>
    <row r="42" spans="1:25" s="25" customFormat="1" ht="35.1" customHeight="1" thickBot="1" x14ac:dyDescent="0.25">
      <c r="B42" s="1346" t="s">
        <v>17</v>
      </c>
      <c r="C42" s="1347"/>
      <c r="D42" s="1347"/>
      <c r="E42" s="1347"/>
      <c r="F42" s="1347"/>
      <c r="G42" s="1347"/>
      <c r="H42" s="1347"/>
      <c r="I42" s="1347"/>
      <c r="J42" s="1348"/>
      <c r="K42" s="171" t="s">
        <v>41</v>
      </c>
      <c r="M42" s="1238"/>
      <c r="N42" s="1239"/>
      <c r="O42" s="1240"/>
      <c r="R42" s="471"/>
      <c r="S42" s="471"/>
      <c r="T42" s="471"/>
      <c r="U42" s="471"/>
      <c r="V42" s="471"/>
      <c r="W42" s="471"/>
      <c r="X42" s="471"/>
      <c r="Y42" s="471"/>
    </row>
    <row r="43" spans="1:25" ht="35.1" customHeight="1" thickBot="1" x14ac:dyDescent="0.25">
      <c r="A43" s="271" t="s">
        <v>15</v>
      </c>
      <c r="B43" s="228">
        <v>1</v>
      </c>
      <c r="C43" s="229">
        <v>2</v>
      </c>
      <c r="D43" s="229">
        <v>3</v>
      </c>
      <c r="E43" s="229">
        <v>4</v>
      </c>
      <c r="F43" s="229">
        <v>5</v>
      </c>
      <c r="G43" s="229">
        <v>6</v>
      </c>
      <c r="H43" s="229">
        <v>7</v>
      </c>
      <c r="I43" s="229">
        <v>8</v>
      </c>
      <c r="J43" s="229">
        <v>9</v>
      </c>
      <c r="K43" s="230">
        <v>10</v>
      </c>
      <c r="M43" s="1241"/>
      <c r="N43" s="1242"/>
      <c r="O43" s="1243"/>
    </row>
    <row r="44" spans="1:25" ht="35.1" customHeight="1" x14ac:dyDescent="0.2">
      <c r="A44" s="982">
        <f>D22</f>
        <v>0</v>
      </c>
      <c r="B44" s="263"/>
      <c r="C44" s="265"/>
      <c r="D44" s="265"/>
      <c r="E44" s="265"/>
      <c r="F44" s="265"/>
      <c r="G44" s="265"/>
      <c r="H44" s="265"/>
      <c r="I44" s="265"/>
      <c r="J44" s="265"/>
      <c r="K44" s="266"/>
      <c r="M44" s="1241"/>
      <c r="N44" s="1242"/>
      <c r="O44" s="1243"/>
    </row>
    <row r="45" spans="1:25" ht="35.1" customHeight="1" x14ac:dyDescent="0.2">
      <c r="A45" s="982">
        <f>E22</f>
        <v>0</v>
      </c>
      <c r="B45" s="267"/>
      <c r="C45" s="264"/>
      <c r="D45" s="264"/>
      <c r="E45" s="264"/>
      <c r="F45" s="264"/>
      <c r="G45" s="264"/>
      <c r="H45" s="264"/>
      <c r="I45" s="264"/>
      <c r="J45" s="264"/>
      <c r="K45" s="268"/>
      <c r="M45" s="1241"/>
      <c r="N45" s="1242"/>
      <c r="O45" s="1243"/>
    </row>
    <row r="46" spans="1:25" ht="35.1" customHeight="1" thickBot="1" x14ac:dyDescent="0.25">
      <c r="A46" s="982">
        <f>F22</f>
        <v>0</v>
      </c>
      <c r="B46" s="837"/>
      <c r="C46" s="273"/>
      <c r="D46" s="273"/>
      <c r="E46" s="273"/>
      <c r="F46" s="270"/>
      <c r="G46" s="270"/>
      <c r="H46" s="270"/>
      <c r="I46" s="270"/>
      <c r="J46" s="270"/>
      <c r="K46" s="272"/>
      <c r="M46" s="1241"/>
      <c r="N46" s="1242"/>
      <c r="O46" s="1243"/>
    </row>
    <row r="47" spans="1:25" ht="35.1" customHeight="1" thickBot="1" x14ac:dyDescent="0.25">
      <c r="B47" s="271" t="s">
        <v>15</v>
      </c>
      <c r="C47" s="282" t="s">
        <v>16</v>
      </c>
      <c r="D47" s="160" t="s">
        <v>52</v>
      </c>
      <c r="E47" s="283" t="s">
        <v>51</v>
      </c>
      <c r="F47" s="405" t="s">
        <v>201</v>
      </c>
      <c r="H47" s="1"/>
      <c r="J47" s="1"/>
      <c r="K47" s="26"/>
      <c r="M47" s="1241"/>
      <c r="N47" s="1242"/>
      <c r="O47" s="1243"/>
    </row>
    <row r="48" spans="1:25" ht="35.1" customHeight="1" thickBot="1" x14ac:dyDescent="0.25">
      <c r="B48" s="277">
        <f>A44</f>
        <v>0</v>
      </c>
      <c r="C48" s="279" t="e">
        <f>AVERAGE(B44:K44)</f>
        <v>#DIV/0!</v>
      </c>
      <c r="D48" s="280" t="e">
        <f>_xlfn.STDEV.S(B44:K44)</f>
        <v>#DIV/0!</v>
      </c>
      <c r="E48" s="281" t="e">
        <f>D48*1000</f>
        <v>#DIV/0!</v>
      </c>
      <c r="F48" s="340" t="e">
        <f>MAX(E48:E50)</f>
        <v>#DIV/0!</v>
      </c>
      <c r="H48" s="1"/>
      <c r="I48" s="1"/>
      <c r="J48" s="7"/>
      <c r="K48" s="1"/>
      <c r="M48" s="1241"/>
      <c r="N48" s="1242"/>
      <c r="O48" s="1243"/>
    </row>
    <row r="49" spans="1:15" ht="35.1" customHeight="1" thickBot="1" x14ac:dyDescent="0.25">
      <c r="B49" s="277">
        <f>A45</f>
        <v>0</v>
      </c>
      <c r="C49" s="275" t="e">
        <f>AVERAGE(B45:K45)</f>
        <v>#DIV/0!</v>
      </c>
      <c r="D49" s="175" t="e">
        <f>_xlfn.STDEV.S(B45:K45)</f>
        <v>#DIV/0!</v>
      </c>
      <c r="E49" s="274" t="e">
        <f>D49*1000</f>
        <v>#DIV/0!</v>
      </c>
      <c r="F49" s="7"/>
      <c r="H49" s="1"/>
      <c r="I49" s="1"/>
      <c r="J49" s="7"/>
      <c r="K49" s="1"/>
      <c r="M49" s="1244"/>
      <c r="N49" s="1245"/>
      <c r="O49" s="1246"/>
    </row>
    <row r="50" spans="1:15" ht="35.1" customHeight="1" thickBot="1" x14ac:dyDescent="0.25">
      <c r="A50" s="6"/>
      <c r="B50" s="278">
        <f>A46</f>
        <v>0</v>
      </c>
      <c r="C50" s="276" t="e">
        <f>AVERAGE(B46:K46)</f>
        <v>#DIV/0!</v>
      </c>
      <c r="D50" s="136" t="e">
        <f>_xlfn.STDEV.S(B46:K46)</f>
        <v>#DIV/0!</v>
      </c>
      <c r="E50" s="137" t="e">
        <f t="shared" ref="E50" si="2">D50*1000</f>
        <v>#DIV/0!</v>
      </c>
      <c r="F50" s="7"/>
      <c r="H50" s="1"/>
      <c r="I50" s="7"/>
      <c r="J50" s="7"/>
      <c r="K50" s="7"/>
    </row>
    <row r="51" spans="1:15" ht="29.25" customHeight="1" thickBot="1" x14ac:dyDescent="0.25">
      <c r="A51" s="6"/>
      <c r="B51" s="1"/>
      <c r="C51" s="1"/>
      <c r="D51" s="1"/>
      <c r="E51" s="1"/>
      <c r="F51" s="1"/>
      <c r="G51" s="1"/>
      <c r="H51" s="1"/>
      <c r="I51" s="7"/>
      <c r="J51" s="7"/>
      <c r="K51" s="7"/>
    </row>
    <row r="52" spans="1:15" ht="35.1" customHeight="1" thickBot="1" x14ac:dyDescent="0.25">
      <c r="A52" s="6"/>
      <c r="B52" s="1199" t="s">
        <v>20</v>
      </c>
      <c r="C52" s="1200"/>
      <c r="D52" s="1200"/>
      <c r="E52" s="1200"/>
      <c r="F52" s="1200"/>
      <c r="G52" s="1200"/>
      <c r="H52" s="1200"/>
      <c r="I52" s="1200"/>
      <c r="J52" s="1200"/>
      <c r="K52" s="1200"/>
      <c r="L52" s="1201"/>
      <c r="N52" s="1259" t="s">
        <v>326</v>
      </c>
      <c r="O52" s="1260"/>
    </row>
    <row r="53" spans="1:15" ht="35.1" customHeight="1" thickBot="1" x14ac:dyDescent="0.25">
      <c r="B53" s="1199" t="s">
        <v>79</v>
      </c>
      <c r="C53" s="1200"/>
      <c r="D53" s="1200"/>
      <c r="E53" s="1201"/>
      <c r="F53" s="28"/>
      <c r="G53" s="1199" t="s">
        <v>249</v>
      </c>
      <c r="H53" s="1200"/>
      <c r="I53" s="1200"/>
      <c r="J53" s="1200"/>
      <c r="K53" s="1200"/>
      <c r="L53" s="1201"/>
    </row>
    <row r="54" spans="1:15" ht="46.5" customHeight="1" thickBot="1" x14ac:dyDescent="0.25">
      <c r="A54" s="6"/>
      <c r="B54" s="240" t="s">
        <v>260</v>
      </c>
      <c r="C54" s="943" t="s">
        <v>97</v>
      </c>
      <c r="D54" s="944" t="s">
        <v>28</v>
      </c>
      <c r="E54" s="945" t="s">
        <v>28</v>
      </c>
      <c r="F54" s="28"/>
      <c r="G54" s="285" t="s">
        <v>97</v>
      </c>
      <c r="H54" s="286" t="s">
        <v>202</v>
      </c>
      <c r="I54" s="286"/>
      <c r="J54" s="286"/>
      <c r="K54" s="395" t="s">
        <v>28</v>
      </c>
      <c r="L54" s="394" t="s">
        <v>28</v>
      </c>
      <c r="N54" s="1421" t="s">
        <v>227</v>
      </c>
      <c r="O54" s="1423"/>
    </row>
    <row r="55" spans="1:15" ht="35.1" customHeight="1" thickBot="1" x14ac:dyDescent="0.25">
      <c r="A55" s="6"/>
      <c r="B55" s="220" t="e">
        <f>H21</f>
        <v>#N/A</v>
      </c>
      <c r="C55" s="223"/>
      <c r="D55" s="221" t="e">
        <f>C55-B55</f>
        <v>#N/A</v>
      </c>
      <c r="E55" s="222" t="e">
        <f>D55*1000</f>
        <v>#N/A</v>
      </c>
      <c r="F55" s="28"/>
      <c r="G55" s="223"/>
      <c r="H55" s="224"/>
      <c r="I55" s="164" t="e">
        <f>AVERAGE(G55:H55)</f>
        <v>#DIV/0!</v>
      </c>
      <c r="J55" s="225" t="e">
        <f>I55*1000</f>
        <v>#DIV/0!</v>
      </c>
      <c r="K55" s="387" t="e">
        <f>I55-B55</f>
        <v>#DIV/0!</v>
      </c>
      <c r="L55" s="390" t="e">
        <f>K55*1000</f>
        <v>#DIV/0!</v>
      </c>
      <c r="N55" s="1247" t="str">
        <f>VLOOKUP($N$52,'DATOS % '!$A$157:$B$160,2,FALSE)</f>
        <v>Stivinson Córdoba Sánchez</v>
      </c>
      <c r="O55" s="1248"/>
    </row>
    <row r="56" spans="1:15" ht="35.1" customHeight="1" x14ac:dyDescent="0.2">
      <c r="A56" s="6"/>
      <c r="B56" s="161" t="e">
        <f>H22</f>
        <v>#N/A</v>
      </c>
      <c r="C56" s="267"/>
      <c r="D56" s="29" t="e">
        <f t="shared" ref="D56:D59" si="3">C56-B56</f>
        <v>#N/A</v>
      </c>
      <c r="E56" s="134" t="e">
        <f t="shared" ref="E56:E59" si="4">D56*1000</f>
        <v>#N/A</v>
      </c>
      <c r="F56" s="28"/>
      <c r="G56" s="267"/>
      <c r="H56" s="264"/>
      <c r="I56" s="202" t="e">
        <f>AVERAGE(G56:H56)</f>
        <v>#DIV/0!</v>
      </c>
      <c r="J56" s="219" t="e">
        <f>I56*1000</f>
        <v>#DIV/0!</v>
      </c>
      <c r="K56" s="388" t="e">
        <f>I56-B56</f>
        <v>#DIV/0!</v>
      </c>
      <c r="L56" s="391" t="e">
        <f t="shared" ref="L56:L59" si="5">K56*1000</f>
        <v>#DIV/0!</v>
      </c>
    </row>
    <row r="57" spans="1:15" ht="35.1" customHeight="1" x14ac:dyDescent="0.2">
      <c r="A57" s="6"/>
      <c r="B57" s="161" t="e">
        <f>H23</f>
        <v>#N/A</v>
      </c>
      <c r="C57" s="284"/>
      <c r="D57" s="29" t="e">
        <f t="shared" si="3"/>
        <v>#N/A</v>
      </c>
      <c r="E57" s="134" t="e">
        <f t="shared" si="4"/>
        <v>#N/A</v>
      </c>
      <c r="F57" s="28"/>
      <c r="G57" s="267"/>
      <c r="H57" s="264"/>
      <c r="I57" s="202" t="e">
        <f>AVERAGE(G57:H57)</f>
        <v>#DIV/0!</v>
      </c>
      <c r="J57" s="219" t="e">
        <f t="shared" ref="J57:J59" si="6">I57*1000</f>
        <v>#DIV/0!</v>
      </c>
      <c r="K57" s="388" t="e">
        <f>I57-B57</f>
        <v>#DIV/0!</v>
      </c>
      <c r="L57" s="392" t="e">
        <f t="shared" si="5"/>
        <v>#DIV/0!</v>
      </c>
    </row>
    <row r="58" spans="1:15" ht="35.1" customHeight="1" x14ac:dyDescent="0.2">
      <c r="A58" s="6"/>
      <c r="B58" s="161" t="e">
        <f>H24</f>
        <v>#N/A</v>
      </c>
      <c r="C58" s="267"/>
      <c r="D58" s="29" t="e">
        <f t="shared" si="3"/>
        <v>#N/A</v>
      </c>
      <c r="E58" s="134" t="e">
        <f t="shared" si="4"/>
        <v>#N/A</v>
      </c>
      <c r="F58" s="28"/>
      <c r="G58" s="267"/>
      <c r="H58" s="264"/>
      <c r="I58" s="202" t="e">
        <f>AVERAGE(G58:H58)</f>
        <v>#DIV/0!</v>
      </c>
      <c r="J58" s="219" t="e">
        <f t="shared" si="6"/>
        <v>#DIV/0!</v>
      </c>
      <c r="K58" s="388" t="e">
        <f>I58-B58</f>
        <v>#DIV/0!</v>
      </c>
      <c r="L58" s="392" t="e">
        <f t="shared" si="5"/>
        <v>#DIV/0!</v>
      </c>
    </row>
    <row r="59" spans="1:15" ht="35.1" customHeight="1" thickBot="1" x14ac:dyDescent="0.25">
      <c r="A59" s="6"/>
      <c r="B59" s="162" t="e">
        <f>H25</f>
        <v>#N/A</v>
      </c>
      <c r="C59" s="269"/>
      <c r="D59" s="133" t="e">
        <f t="shared" si="3"/>
        <v>#N/A</v>
      </c>
      <c r="E59" s="135" t="e">
        <f t="shared" si="4"/>
        <v>#N/A</v>
      </c>
      <c r="F59" s="28"/>
      <c r="G59" s="269"/>
      <c r="H59" s="270"/>
      <c r="I59" s="226" t="e">
        <f t="shared" ref="I59" si="7">AVERAGE(G59:H59)</f>
        <v>#DIV/0!</v>
      </c>
      <c r="J59" s="227" t="e">
        <f t="shared" si="6"/>
        <v>#DIV/0!</v>
      </c>
      <c r="K59" s="389" t="e">
        <f>I59-B59</f>
        <v>#DIV/0!</v>
      </c>
      <c r="L59" s="393" t="e">
        <f t="shared" si="5"/>
        <v>#DIV/0!</v>
      </c>
    </row>
    <row r="60" spans="1:15" ht="9.9499999999999993" customHeight="1" thickBot="1" x14ac:dyDescent="0.25">
      <c r="A60" s="6"/>
      <c r="L60" s="6"/>
    </row>
    <row r="61" spans="1:15" ht="35.1" customHeight="1" thickBot="1" x14ac:dyDescent="0.25">
      <c r="A61" s="30"/>
      <c r="B61" s="1231" t="s">
        <v>50</v>
      </c>
      <c r="C61" s="1232"/>
      <c r="D61" s="1232"/>
      <c r="E61" s="1232"/>
      <c r="F61" s="1232"/>
      <c r="G61" s="1232"/>
      <c r="H61" s="1232"/>
      <c r="I61" s="1370"/>
      <c r="K61" s="1"/>
    </row>
    <row r="62" spans="1:15" ht="35.1" customHeight="1" thickBot="1" x14ac:dyDescent="0.25">
      <c r="A62" s="30"/>
      <c r="B62" s="185" t="s">
        <v>482</v>
      </c>
      <c r="C62" s="820"/>
      <c r="D62" s="50" t="s">
        <v>5</v>
      </c>
      <c r="E62" s="98"/>
      <c r="F62" s="50" t="s">
        <v>384</v>
      </c>
      <c r="G62" s="99"/>
      <c r="H62" s="51" t="s">
        <v>4</v>
      </c>
      <c r="I62" s="100"/>
      <c r="K62" s="1"/>
    </row>
    <row r="63" spans="1:15" ht="35.1" customHeight="1" thickBot="1" x14ac:dyDescent="0.25">
      <c r="A63" s="49"/>
      <c r="B63" s="49"/>
      <c r="C63" s="49"/>
      <c r="D63" s="49"/>
      <c r="E63" s="49"/>
      <c r="F63" s="49"/>
      <c r="G63" s="49"/>
      <c r="H63" s="49"/>
      <c r="I63" s="49"/>
      <c r="J63" s="49"/>
      <c r="K63" s="1"/>
    </row>
    <row r="64" spans="1:15" ht="54" customHeight="1" thickBot="1" x14ac:dyDescent="0.25">
      <c r="A64" s="49"/>
      <c r="B64" s="1249" t="s">
        <v>366</v>
      </c>
      <c r="C64" s="1250"/>
      <c r="D64" s="50" t="s">
        <v>5</v>
      </c>
      <c r="E64" s="53" t="e">
        <f>E32+(VLOOKUP(K28,'DATOS % '!G154:T167,9,FALSE))*E32+(VLOOKUP(K28,'DATOS % '!G154:T167,10,FALSE))</f>
        <v>#N/A</v>
      </c>
      <c r="F64" s="50" t="s">
        <v>384</v>
      </c>
      <c r="G64" s="53" t="e">
        <f>G32+(VLOOKUP(K28,'DATOS % '!G154:T167,11,FALSE))*G32+(VLOOKUP(K28,'DATOS % '!G154:T167,12,FALSE))</f>
        <v>#N/A</v>
      </c>
      <c r="H64" s="51" t="s">
        <v>4</v>
      </c>
      <c r="I64" s="53" t="e">
        <f>I32+(VLOOKUP(K28,'DATOS % '!G154:T167,13,FALSE))*I32+(VLOOKUP(K28,'DATOS % '!G154:T167,14,FALSE))</f>
        <v>#N/A</v>
      </c>
      <c r="K64" s="1"/>
    </row>
    <row r="65" spans="1:25" ht="48.75" customHeight="1" thickBot="1" x14ac:dyDescent="0.25">
      <c r="A65" s="49"/>
      <c r="B65" s="1249" t="s">
        <v>365</v>
      </c>
      <c r="C65" s="1250"/>
      <c r="D65" s="50" t="s">
        <v>5</v>
      </c>
      <c r="E65" s="53" t="e">
        <f>E62+(VLOOKUP(K28,'DATOS % '!G154:T167,9,FALSE))*E62+(VLOOKUP(K28,'DATOS % '!G154:T167,10,FALSE))</f>
        <v>#N/A</v>
      </c>
      <c r="F65" s="50" t="s">
        <v>384</v>
      </c>
      <c r="G65" s="186" t="e">
        <f>G62+(VLOOKUP(K28,'DATOS % '!G154:T167,11,FALSE))*G62+(VLOOKUP(K28,'DATOS % '!G154:T167,12,FALSE))</f>
        <v>#N/A</v>
      </c>
      <c r="H65" s="51" t="s">
        <v>4</v>
      </c>
      <c r="I65" s="53" t="e">
        <f>I62+(VLOOKUP(K28,'DATOS % '!G154:T167,13,FALSE))*I62+(VLOOKUP(K28,'DATOS % '!G154:T167,14,FALSE))</f>
        <v>#N/A</v>
      </c>
      <c r="K65" s="1"/>
    </row>
    <row r="66" spans="1:25" ht="21.75" customHeight="1" thickBot="1" x14ac:dyDescent="0.25">
      <c r="B66" s="1"/>
      <c r="C66" s="1"/>
      <c r="D66" s="1"/>
      <c r="E66" s="1"/>
      <c r="F66" s="1"/>
      <c r="G66" s="1"/>
      <c r="H66" s="1"/>
      <c r="I66" s="1"/>
      <c r="J66" s="1"/>
      <c r="K66" s="1"/>
    </row>
    <row r="67" spans="1:25" ht="35.1" customHeight="1" thickBot="1" x14ac:dyDescent="0.25">
      <c r="A67" s="1199" t="s">
        <v>27</v>
      </c>
      <c r="B67" s="1200"/>
      <c r="C67" s="1200"/>
      <c r="D67" s="1200"/>
      <c r="E67" s="1200"/>
      <c r="F67" s="1200"/>
      <c r="G67" s="1200"/>
      <c r="H67" s="1200"/>
      <c r="I67" s="1200"/>
      <c r="J67" s="1200"/>
      <c r="K67" s="1200"/>
      <c r="L67" s="1201"/>
    </row>
    <row r="68" spans="1:25" s="25" customFormat="1" ht="9.9499999999999993" customHeight="1" thickBot="1" x14ac:dyDescent="0.25">
      <c r="R68" s="471"/>
      <c r="S68" s="471"/>
      <c r="T68" s="471"/>
      <c r="U68" s="471"/>
      <c r="V68" s="471"/>
      <c r="W68" s="471"/>
      <c r="X68" s="471"/>
      <c r="Y68" s="471"/>
    </row>
    <row r="69" spans="1:25" ht="35.1" customHeight="1" thickBot="1" x14ac:dyDescent="0.25">
      <c r="B69" s="1"/>
      <c r="C69" s="1"/>
      <c r="D69" s="1"/>
      <c r="E69" s="1"/>
      <c r="F69" s="1209" t="s">
        <v>23</v>
      </c>
      <c r="G69" s="1210"/>
      <c r="H69" s="1210"/>
      <c r="I69" s="1210"/>
      <c r="J69" s="1211"/>
      <c r="K69" s="1"/>
    </row>
    <row r="70" spans="1:25" s="7" customFormat="1" ht="35.1" customHeight="1" thickBot="1" x14ac:dyDescent="0.25">
      <c r="D70" s="31"/>
      <c r="F70" s="176" t="e">
        <f>G21</f>
        <v>#N/A</v>
      </c>
      <c r="G70" s="177" t="e">
        <f>G22</f>
        <v>#N/A</v>
      </c>
      <c r="H70" s="177" t="e">
        <f>G23</f>
        <v>#N/A</v>
      </c>
      <c r="I70" s="177" t="e">
        <f>G24</f>
        <v>#N/A</v>
      </c>
      <c r="J70" s="178" t="e">
        <f>G25</f>
        <v>#N/A</v>
      </c>
      <c r="K70" s="1"/>
      <c r="L70" s="1"/>
      <c r="M70" s="1"/>
      <c r="R70" s="471"/>
      <c r="S70" s="471"/>
      <c r="T70" s="471"/>
      <c r="U70" s="471"/>
      <c r="V70" s="471"/>
      <c r="W70" s="471"/>
      <c r="X70" s="471"/>
      <c r="Y70" s="471"/>
    </row>
    <row r="71" spans="1:25" s="25" customFormat="1" ht="12" customHeight="1" thickBot="1" x14ac:dyDescent="0.25">
      <c r="F71" s="823"/>
      <c r="G71" s="823"/>
      <c r="H71" s="823"/>
      <c r="I71" s="823"/>
      <c r="J71" s="823"/>
      <c r="L71" s="1"/>
      <c r="M71" s="1"/>
      <c r="N71" s="1"/>
      <c r="O71" s="1"/>
      <c r="R71" s="471"/>
      <c r="S71" s="471"/>
      <c r="T71" s="471"/>
      <c r="U71" s="471"/>
      <c r="V71" s="471"/>
      <c r="W71" s="471"/>
      <c r="X71" s="471"/>
      <c r="Y71" s="471"/>
    </row>
    <row r="72" spans="1:25" ht="70.5" customHeight="1" thickBot="1" x14ac:dyDescent="0.25">
      <c r="A72" s="1421" t="s">
        <v>26</v>
      </c>
      <c r="B72" s="1422"/>
      <c r="C72" s="1422"/>
      <c r="D72" s="1422"/>
      <c r="E72" s="1423"/>
      <c r="F72" s="1199" t="s">
        <v>40</v>
      </c>
      <c r="G72" s="1200"/>
      <c r="H72" s="1200"/>
      <c r="I72" s="1200"/>
      <c r="J72" s="1201"/>
      <c r="K72" s="996" t="s">
        <v>22</v>
      </c>
      <c r="L72" s="997" t="s">
        <v>323</v>
      </c>
      <c r="M72" s="984" t="s">
        <v>372</v>
      </c>
    </row>
    <row r="73" spans="1:25" ht="35.1" customHeight="1" thickBot="1" x14ac:dyDescent="0.25">
      <c r="A73" s="1419" t="s">
        <v>18</v>
      </c>
      <c r="B73" s="1420"/>
      <c r="C73" s="1321"/>
      <c r="D73" s="1322"/>
      <c r="E73" s="1323"/>
      <c r="F73" s="506" t="e">
        <f>((F70*1000)*$C$39)/(2*$G$34*SQRT(3))</f>
        <v>#N/A</v>
      </c>
      <c r="G73" s="584" t="e">
        <f>((G70*1000)*$C$39)/(2*$G$34*SQRT(3))</f>
        <v>#N/A</v>
      </c>
      <c r="H73" s="584" t="e">
        <f>((H70*1000)*$C$39)/(2*$G$34*SQRT(3))</f>
        <v>#N/A</v>
      </c>
      <c r="I73" s="584" t="e">
        <f>((I70*1000)*$C$39)/(2*$G$34*SQRT(3))</f>
        <v>#N/A</v>
      </c>
      <c r="J73" s="824" t="e">
        <f>((J70*1000)*$C$39)/(2*$G$34*SQRT(3))</f>
        <v>#N/A</v>
      </c>
      <c r="K73" s="993" t="s">
        <v>42</v>
      </c>
      <c r="L73" s="376">
        <v>100</v>
      </c>
      <c r="M73" s="413" t="e">
        <f>(J73/$J$85)^2</f>
        <v>#N/A</v>
      </c>
    </row>
    <row r="74" spans="1:25" ht="35.1" customHeight="1" thickBot="1" x14ac:dyDescent="0.25">
      <c r="A74" s="1249" t="s">
        <v>19</v>
      </c>
      <c r="B74" s="1250"/>
      <c r="C74" s="1324"/>
      <c r="D74" s="1325"/>
      <c r="E74" s="1326"/>
      <c r="F74" s="132" t="e">
        <f>$F$48</f>
        <v>#DIV/0!</v>
      </c>
      <c r="G74" s="32" t="e">
        <f>$F$48</f>
        <v>#DIV/0!</v>
      </c>
      <c r="H74" s="32" t="e">
        <f>$F$48</f>
        <v>#DIV/0!</v>
      </c>
      <c r="I74" s="32" t="e">
        <f>$F$48</f>
        <v>#DIV/0!</v>
      </c>
      <c r="J74" s="825" t="e">
        <f>$F$48</f>
        <v>#DIV/0!</v>
      </c>
      <c r="K74" s="994" t="s">
        <v>43</v>
      </c>
      <c r="L74" s="375">
        <f>K43-1</f>
        <v>9</v>
      </c>
      <c r="M74" s="414" t="e">
        <f>(J74/$J$85)^2</f>
        <v>#DIV/0!</v>
      </c>
    </row>
    <row r="75" spans="1:25" ht="35.1" customHeight="1" thickBot="1" x14ac:dyDescent="0.25">
      <c r="A75" s="1249" t="s">
        <v>520</v>
      </c>
      <c r="B75" s="1250"/>
      <c r="C75" s="1324"/>
      <c r="D75" s="1325"/>
      <c r="E75" s="1326"/>
      <c r="F75" s="998">
        <f>(0/SQRT(9))</f>
        <v>0</v>
      </c>
      <c r="G75" s="999">
        <f>(0/SQRT(9))</f>
        <v>0</v>
      </c>
      <c r="H75" s="999">
        <f>(0/SQRT(9))</f>
        <v>0</v>
      </c>
      <c r="I75" s="999">
        <f>(0/SQRT(9))</f>
        <v>0</v>
      </c>
      <c r="J75" s="1000">
        <f>(0.0167)/SQRT(9)</f>
        <v>5.5666666666666668E-3</v>
      </c>
      <c r="K75" s="1001" t="s">
        <v>43</v>
      </c>
      <c r="L75" s="1002">
        <v>6</v>
      </c>
      <c r="M75" s="1003" t="e">
        <f>(J75/$J$85)^2</f>
        <v>#N/A</v>
      </c>
    </row>
    <row r="76" spans="1:25" ht="35.1" customHeight="1" thickBot="1" x14ac:dyDescent="0.25">
      <c r="A76" s="1225" t="s">
        <v>322</v>
      </c>
      <c r="B76" s="1226"/>
      <c r="C76" s="365"/>
      <c r="D76" s="366"/>
      <c r="E76" s="366"/>
      <c r="F76" s="132" t="e">
        <f>($D$14*1000)/SQRT(12)</f>
        <v>#N/A</v>
      </c>
      <c r="G76" s="32" t="e">
        <f t="shared" ref="F76:J77" si="8">($D$14*1000)/SQRT(12)</f>
        <v>#N/A</v>
      </c>
      <c r="H76" s="32" t="e">
        <f t="shared" si="8"/>
        <v>#N/A</v>
      </c>
      <c r="I76" s="32" t="e">
        <f t="shared" si="8"/>
        <v>#N/A</v>
      </c>
      <c r="J76" s="825" t="e">
        <f t="shared" si="8"/>
        <v>#N/A</v>
      </c>
      <c r="K76" s="994" t="s">
        <v>42</v>
      </c>
      <c r="L76" s="375">
        <v>100</v>
      </c>
      <c r="M76" s="414" t="e">
        <f>(J76/$J$85)^2</f>
        <v>#N/A</v>
      </c>
      <c r="N76" s="306"/>
    </row>
    <row r="77" spans="1:25" ht="35.1" customHeight="1" thickBot="1" x14ac:dyDescent="0.25">
      <c r="A77" s="1223" t="s">
        <v>324</v>
      </c>
      <c r="B77" s="1224"/>
      <c r="C77" s="1375"/>
      <c r="D77" s="1376"/>
      <c r="E77" s="1377"/>
      <c r="F77" s="938" t="e">
        <f t="shared" si="8"/>
        <v>#N/A</v>
      </c>
      <c r="G77" s="939" t="e">
        <f t="shared" si="8"/>
        <v>#N/A</v>
      </c>
      <c r="H77" s="939" t="e">
        <f t="shared" si="8"/>
        <v>#N/A</v>
      </c>
      <c r="I77" s="939" t="e">
        <f t="shared" si="8"/>
        <v>#N/A</v>
      </c>
      <c r="J77" s="940" t="e">
        <f t="shared" si="8"/>
        <v>#N/A</v>
      </c>
      <c r="K77" s="995" t="s">
        <v>42</v>
      </c>
      <c r="L77" s="377">
        <v>100</v>
      </c>
      <c r="M77" s="415" t="e">
        <f t="shared" ref="M77" si="9">(J77/$J$85)^2</f>
        <v>#N/A</v>
      </c>
    </row>
    <row r="78" spans="1:25" ht="35.1" customHeight="1" thickBot="1" x14ac:dyDescent="0.25">
      <c r="A78" s="28"/>
      <c r="B78" s="28"/>
      <c r="C78" s="1378"/>
      <c r="D78" s="1378"/>
      <c r="E78" s="1378"/>
      <c r="F78" s="941" t="e">
        <f>SQRT((F73)^2+(F74)^2+(F76)^2+(F77)^2)</f>
        <v>#N/A</v>
      </c>
      <c r="G78" s="941" t="e">
        <f>SQRT((G73)^2+(G74)^2+(G76)^2+(G77)^2)</f>
        <v>#N/A</v>
      </c>
      <c r="H78" s="941" t="e">
        <f>SQRT((H73)^2+(H74)^2+(H76)^2+(H77)^2)</f>
        <v>#N/A</v>
      </c>
      <c r="I78" s="941" t="e">
        <f>SQRT((I73)^2+(I74)^2+(I76)^2+(I77)^2)</f>
        <v>#N/A</v>
      </c>
      <c r="J78" s="941" t="e">
        <f>SQRT((J73)^2+(J74)^2+(J76)^2+(J77)^2)</f>
        <v>#N/A</v>
      </c>
      <c r="K78" s="992" t="s">
        <v>43</v>
      </c>
      <c r="M78" s="374"/>
    </row>
    <row r="79" spans="1:25" ht="34.5" customHeight="1" thickBot="1" x14ac:dyDescent="0.25">
      <c r="A79" s="28"/>
      <c r="B79" s="28"/>
      <c r="C79" s="28"/>
      <c r="D79" s="28"/>
      <c r="F79" s="1276" t="s">
        <v>238</v>
      </c>
      <c r="G79" s="1277"/>
      <c r="H79" s="1277"/>
      <c r="I79" s="1277"/>
      <c r="J79" s="1278"/>
      <c r="K79" s="1"/>
      <c r="M79" s="374"/>
    </row>
    <row r="80" spans="1:25" ht="35.1" customHeight="1" thickBot="1" x14ac:dyDescent="0.25">
      <c r="A80" s="1249" t="s">
        <v>21</v>
      </c>
      <c r="B80" s="1250"/>
      <c r="C80" s="1318"/>
      <c r="D80" s="1319"/>
      <c r="E80" s="1320"/>
      <c r="F80" s="129" t="e">
        <f>I21/L32</f>
        <v>#N/A</v>
      </c>
      <c r="G80" s="130" t="e">
        <f>I22/L32</f>
        <v>#N/A</v>
      </c>
      <c r="H80" s="130" t="e">
        <f>I23/L32</f>
        <v>#N/A</v>
      </c>
      <c r="I80" s="130" t="e">
        <f>I24/L32</f>
        <v>#N/A</v>
      </c>
      <c r="J80" s="130" t="e">
        <f>I25/L32</f>
        <v>#N/A</v>
      </c>
      <c r="K80" s="295" t="s">
        <v>43</v>
      </c>
      <c r="L80" s="376">
        <v>100</v>
      </c>
      <c r="M80" s="413" t="e">
        <f>+(J80/$J$85)^2</f>
        <v>#N/A</v>
      </c>
    </row>
    <row r="81" spans="1:25" ht="35.1" customHeight="1" x14ac:dyDescent="0.2">
      <c r="A81" s="1264" t="s">
        <v>522</v>
      </c>
      <c r="B81" s="1265"/>
      <c r="C81" s="1266"/>
      <c r="D81" s="1267"/>
      <c r="E81" s="1268"/>
      <c r="F81" s="131" t="e">
        <f>(3*I21)/(4*SQRT(3))</f>
        <v>#N/A</v>
      </c>
      <c r="G81" s="33" t="e">
        <f>(3*I22)/(4*SQRT(3))</f>
        <v>#N/A</v>
      </c>
      <c r="H81" s="33" t="e">
        <f>(3*I23)/(4*SQRT(3))</f>
        <v>#N/A</v>
      </c>
      <c r="I81" s="33" t="e">
        <f>(3*I24)/(4*SQRT(3))</f>
        <v>#N/A</v>
      </c>
      <c r="J81" s="33" t="e">
        <f>(3*I25)/(4*SQRT(3))</f>
        <v>#N/A</v>
      </c>
      <c r="K81" s="27" t="s">
        <v>42</v>
      </c>
      <c r="L81" s="375">
        <v>100</v>
      </c>
      <c r="M81" s="414" t="e">
        <f t="shared" ref="M81:M82" si="10">+(J81/$J$85)^2</f>
        <v>#N/A</v>
      </c>
    </row>
    <row r="82" spans="1:25" ht="35.1" customHeight="1" thickBot="1" x14ac:dyDescent="0.25">
      <c r="A82" s="1261" t="s">
        <v>523</v>
      </c>
      <c r="B82" s="1262"/>
      <c r="C82" s="1314"/>
      <c r="D82" s="1315"/>
      <c r="E82" s="1316"/>
      <c r="F82" s="416" t="e">
        <f>VLOOKUP($K$21,'DATOS % '!$C$27:$V$92,15,FALSE)</f>
        <v>#N/A</v>
      </c>
      <c r="G82" s="417" t="e">
        <f>VLOOKUP($K$22,'DATOS % '!$C$27:$V$92,15,FALSE)</f>
        <v>#N/A</v>
      </c>
      <c r="H82" s="417" t="e">
        <f>VLOOKUP($K$23,'DATOS % '!$C$27:$V$92,15,FALSE)</f>
        <v>#N/A</v>
      </c>
      <c r="I82" s="417" t="e">
        <f>VLOOKUP($K$24,'DATOS % '!$C$27:$V$92,15,FALSE)</f>
        <v>#N/A</v>
      </c>
      <c r="J82" s="417" t="e">
        <f>VLOOKUP($K$25,'DATOS % '!$C$27:$V$92,15,FALSE)</f>
        <v>#N/A</v>
      </c>
      <c r="K82" s="418" t="s">
        <v>42</v>
      </c>
      <c r="L82" s="377">
        <v>100</v>
      </c>
      <c r="M82" s="415" t="e">
        <f t="shared" si="10"/>
        <v>#N/A</v>
      </c>
    </row>
    <row r="83" spans="1:25" ht="35.1" customHeight="1" thickBot="1" x14ac:dyDescent="0.25">
      <c r="C83" s="1317"/>
      <c r="D83" s="1317"/>
      <c r="E83" s="1317"/>
      <c r="F83" s="935" t="e">
        <f>SQRT(F80^2+F81^2+F82^2)</f>
        <v>#N/A</v>
      </c>
      <c r="G83" s="935" t="e">
        <f t="shared" ref="G83:J83" si="11">SQRT(G80^2+G81^2+G82^2)</f>
        <v>#N/A</v>
      </c>
      <c r="H83" s="935" t="e">
        <f t="shared" si="11"/>
        <v>#N/A</v>
      </c>
      <c r="I83" s="935" t="e">
        <f t="shared" si="11"/>
        <v>#N/A</v>
      </c>
      <c r="J83" s="936" t="e">
        <f t="shared" si="11"/>
        <v>#N/A</v>
      </c>
      <c r="K83" s="937" t="s">
        <v>43</v>
      </c>
      <c r="L83" s="52"/>
      <c r="M83" s="419" t="e">
        <f>+SUM(M73:M77,M80:M82)</f>
        <v>#N/A</v>
      </c>
      <c r="N83" s="181"/>
    </row>
    <row r="84" spans="1:25" ht="35.1" customHeight="1" thickBot="1" x14ac:dyDescent="0.25">
      <c r="C84" s="1"/>
      <c r="D84" s="1"/>
      <c r="F84" s="1199" t="s">
        <v>239</v>
      </c>
      <c r="G84" s="1200"/>
      <c r="H84" s="1200"/>
      <c r="I84" s="1200"/>
      <c r="J84" s="1201"/>
      <c r="K84" s="1"/>
      <c r="L84" s="6"/>
      <c r="O84" s="182">
        <v>0.3</v>
      </c>
      <c r="P84" s="182">
        <v>1.65</v>
      </c>
      <c r="Q84" s="183"/>
    </row>
    <row r="85" spans="1:25" ht="35.1" customHeight="1" thickBot="1" x14ac:dyDescent="0.25">
      <c r="B85" s="1"/>
      <c r="C85" s="1272"/>
      <c r="D85" s="1273"/>
      <c r="E85" s="1379"/>
      <c r="F85" s="1004" t="e">
        <f>SQRT((F78)^2+(F83)^2+(F75)^2)</f>
        <v>#N/A</v>
      </c>
      <c r="G85" s="1005" t="e">
        <f>SQRT((G78)^2+(G83)^2+(G75)^2)</f>
        <v>#N/A</v>
      </c>
      <c r="H85" s="1005" t="e">
        <f>SQRT((H78)^2+(H83)^2+(H75)^2)</f>
        <v>#N/A</v>
      </c>
      <c r="I85" s="1005" t="e">
        <f>SQRT((I78)^2+(I83)^2+(I75)^2)</f>
        <v>#N/A</v>
      </c>
      <c r="J85" s="1006" t="e">
        <f>SQRT((J78)^2+(J83)^2+(J75)^2)</f>
        <v>#N/A</v>
      </c>
      <c r="L85" s="6"/>
      <c r="O85" s="1424" t="s">
        <v>267</v>
      </c>
      <c r="P85" s="1425"/>
      <c r="Q85" s="1426"/>
    </row>
    <row r="86" spans="1:25" s="7" customFormat="1" ht="37.5" customHeight="1" thickBot="1" x14ac:dyDescent="0.25">
      <c r="A86" s="34"/>
      <c r="B86" s="34"/>
      <c r="D86" s="30"/>
      <c r="F86" s="187"/>
      <c r="G86" s="187"/>
      <c r="H86" s="187"/>
      <c r="I86" s="187"/>
      <c r="J86" s="187"/>
      <c r="L86" s="298" t="s">
        <v>262</v>
      </c>
      <c r="M86" s="241" t="e">
        <f>MAX(J73:J77,J80:J82)</f>
        <v>#N/A</v>
      </c>
      <c r="N86" s="247" t="e">
        <f>IF((M87)&lt;=(O84),"165","k=2")</f>
        <v>#N/A</v>
      </c>
      <c r="O86" s="243" t="s">
        <v>263</v>
      </c>
      <c r="P86" s="244" t="s">
        <v>264</v>
      </c>
      <c r="Q86" s="472" t="s">
        <v>373</v>
      </c>
      <c r="R86" s="471"/>
      <c r="S86" s="471"/>
      <c r="T86" s="471"/>
      <c r="U86" s="471"/>
      <c r="V86" s="471"/>
      <c r="W86" s="471"/>
      <c r="X86" s="471"/>
      <c r="Y86" s="471"/>
    </row>
    <row r="87" spans="1:25" s="25" customFormat="1" ht="35.1" customHeight="1" thickBot="1" x14ac:dyDescent="0.25">
      <c r="F87" s="1209" t="s">
        <v>24</v>
      </c>
      <c r="G87" s="1210"/>
      <c r="H87" s="1210"/>
      <c r="I87" s="1210"/>
      <c r="J87" s="1211"/>
      <c r="L87" s="247" t="s">
        <v>265</v>
      </c>
      <c r="M87" s="242" t="e">
        <f>SQRT((J73)^2+(J74)^2+J80^2+J81^2+J82^2)/J77</f>
        <v>#N/A</v>
      </c>
      <c r="N87" s="180"/>
      <c r="O87" s="245" t="s">
        <v>263</v>
      </c>
      <c r="P87" s="246" t="s">
        <v>266</v>
      </c>
      <c r="Q87" s="473" t="s">
        <v>374</v>
      </c>
      <c r="R87" s="471"/>
      <c r="S87" s="471"/>
      <c r="T87" s="471"/>
      <c r="U87" s="471"/>
      <c r="V87" s="471"/>
      <c r="W87" s="471"/>
      <c r="X87" s="471"/>
      <c r="Y87" s="471"/>
    </row>
    <row r="88" spans="1:25" s="25" customFormat="1" ht="35.1" customHeight="1" thickBot="1" x14ac:dyDescent="0.25">
      <c r="F88" s="1269" t="s">
        <v>47</v>
      </c>
      <c r="G88" s="1270"/>
      <c r="H88" s="1270"/>
      <c r="I88" s="1270"/>
      <c r="J88" s="1271"/>
    </row>
    <row r="89" spans="1:25" ht="36.6" customHeight="1" x14ac:dyDescent="0.2">
      <c r="A89" s="1321" t="s">
        <v>534</v>
      </c>
      <c r="B89" s="1322"/>
      <c r="C89" s="1322"/>
      <c r="D89" s="1371"/>
      <c r="E89" s="1372"/>
      <c r="F89" s="122">
        <f>$L$73</f>
        <v>100</v>
      </c>
      <c r="G89" s="570">
        <f t="shared" ref="G89:J89" si="12">$L$73</f>
        <v>100</v>
      </c>
      <c r="H89" s="570">
        <f t="shared" si="12"/>
        <v>100</v>
      </c>
      <c r="I89" s="570">
        <f t="shared" si="12"/>
        <v>100</v>
      </c>
      <c r="J89" s="329">
        <f t="shared" si="12"/>
        <v>100</v>
      </c>
      <c r="Q89" s="25"/>
      <c r="R89" s="471"/>
      <c r="S89" s="471"/>
      <c r="T89" s="471"/>
    </row>
    <row r="90" spans="1:25" ht="39.6" customHeight="1" x14ac:dyDescent="0.2">
      <c r="A90" s="1324" t="s">
        <v>535</v>
      </c>
      <c r="B90" s="1325"/>
      <c r="C90" s="1325"/>
      <c r="D90" s="1289"/>
      <c r="E90" s="1290"/>
      <c r="F90" s="123">
        <f>$K$43-1</f>
        <v>9</v>
      </c>
      <c r="G90" s="521">
        <f t="shared" ref="G90:J90" si="13">$K$43-1</f>
        <v>9</v>
      </c>
      <c r="H90" s="521">
        <f t="shared" si="13"/>
        <v>9</v>
      </c>
      <c r="I90" s="521">
        <f t="shared" si="13"/>
        <v>9</v>
      </c>
      <c r="J90" s="827">
        <f t="shared" si="13"/>
        <v>9</v>
      </c>
      <c r="L90" s="826"/>
      <c r="M90" s="6"/>
      <c r="N90" s="826"/>
      <c r="O90" s="6"/>
      <c r="Q90" s="25"/>
      <c r="R90" s="471"/>
      <c r="S90" s="471"/>
      <c r="T90" s="471"/>
    </row>
    <row r="91" spans="1:25" ht="35.1" customHeight="1" x14ac:dyDescent="0.2">
      <c r="A91" s="1324" t="s">
        <v>536</v>
      </c>
      <c r="B91" s="1325"/>
      <c r="C91" s="1325"/>
      <c r="D91" s="1373"/>
      <c r="E91" s="1374"/>
      <c r="F91" s="123">
        <f>$L$75</f>
        <v>6</v>
      </c>
      <c r="G91" s="521">
        <f t="shared" ref="G91:J91" si="14">$L$75</f>
        <v>6</v>
      </c>
      <c r="H91" s="521">
        <f t="shared" si="14"/>
        <v>6</v>
      </c>
      <c r="I91" s="521">
        <f t="shared" si="14"/>
        <v>6</v>
      </c>
      <c r="J91" s="827">
        <f t="shared" si="14"/>
        <v>6</v>
      </c>
      <c r="R91" s="471"/>
      <c r="S91" s="471"/>
      <c r="T91" s="471"/>
    </row>
    <row r="92" spans="1:25" ht="35.1" customHeight="1" thickBot="1" x14ac:dyDescent="0.25">
      <c r="A92" s="1261" t="s">
        <v>75</v>
      </c>
      <c r="B92" s="1263"/>
      <c r="C92" s="1263"/>
      <c r="D92" s="1289"/>
      <c r="E92" s="1290"/>
      <c r="F92" s="123">
        <v>100</v>
      </c>
      <c r="G92" s="521">
        <v>100</v>
      </c>
      <c r="H92" s="521">
        <v>100</v>
      </c>
      <c r="I92" s="521">
        <v>100</v>
      </c>
      <c r="J92" s="827">
        <v>100</v>
      </c>
      <c r="R92" s="471"/>
      <c r="S92" s="471"/>
      <c r="T92" s="471"/>
    </row>
    <row r="93" spans="1:25" ht="50.1" customHeight="1" thickBot="1" x14ac:dyDescent="0.25">
      <c r="B93" s="1380"/>
      <c r="C93" s="1381"/>
      <c r="D93" s="1381"/>
      <c r="E93" s="1381"/>
      <c r="F93" s="124" t="e">
        <f>F78^4/(F73^4/$L$73+(F74^4/($L$74))+(F75^4/($L$75))+(F76^4/$L$76)+(F77^4/$L$77))</f>
        <v>#N/A</v>
      </c>
      <c r="G93" s="446" t="e">
        <f>G78^4/(G73^4/$L$73+(G74^4/($L$74))+(G75^4/($L$75))+(G76^4/$L$76)+(G77^4/$L$77))</f>
        <v>#N/A</v>
      </c>
      <c r="H93" s="446" t="e">
        <f>H78^4/(H73^4/$L$73+(H74^4/($L$74))+(H75^4/($L$75))+(H76^4/$L$76)+(H77^4/$L$77))</f>
        <v>#N/A</v>
      </c>
      <c r="I93" s="446" t="e">
        <f>I78^4/(I73^4/$L$73+(I74^4/($L$74))+(I75^4/($L$75))+(I76^4/$L$76)+(I77^4/$L$77))</f>
        <v>#N/A</v>
      </c>
      <c r="J93" s="125" t="e">
        <f>J78^4/(J73^4/$L$73+(J74^4/($L$74))+(J75^4/($L$75))+(J76^4/$L$76)+(J77^4/$L$77))</f>
        <v>#N/A</v>
      </c>
      <c r="K93" s="1227" t="s">
        <v>74</v>
      </c>
      <c r="L93" s="1229" t="s">
        <v>381</v>
      </c>
      <c r="M93" s="1229" t="s">
        <v>382</v>
      </c>
      <c r="N93" s="1229" t="s">
        <v>368</v>
      </c>
      <c r="O93" s="1229" t="s">
        <v>222</v>
      </c>
      <c r="P93" s="1368" t="s">
        <v>367</v>
      </c>
      <c r="Q93" s="575">
        <f>' CMC %'!C21/' CMC %'!B21</f>
        <v>5.0000000000000004E-6</v>
      </c>
    </row>
    <row r="94" spans="1:25" ht="35.1" customHeight="1" thickBot="1" x14ac:dyDescent="0.25">
      <c r="B94" s="1"/>
      <c r="C94" s="21"/>
      <c r="D94" s="21"/>
      <c r="E94" s="21"/>
      <c r="F94" s="1212" t="s">
        <v>505</v>
      </c>
      <c r="G94" s="1213"/>
      <c r="H94" s="1213"/>
      <c r="I94" s="1213"/>
      <c r="J94" s="1214"/>
      <c r="K94" s="1228"/>
      <c r="L94" s="1230"/>
      <c r="M94" s="1230"/>
      <c r="N94" s="1230"/>
      <c r="O94" s="1230"/>
      <c r="P94" s="1369"/>
      <c r="Q94" s="986" t="s">
        <v>489</v>
      </c>
    </row>
    <row r="95" spans="1:25" ht="35.1" customHeight="1" x14ac:dyDescent="0.2">
      <c r="A95" s="1215" t="s">
        <v>76</v>
      </c>
      <c r="B95" s="1216"/>
      <c r="C95" s="1216"/>
      <c r="D95" s="1219"/>
      <c r="E95" s="1220"/>
      <c r="F95" s="570">
        <v>100</v>
      </c>
      <c r="G95" s="146">
        <v>100</v>
      </c>
      <c r="H95" s="146">
        <v>100</v>
      </c>
      <c r="I95" s="146">
        <v>100</v>
      </c>
      <c r="J95" s="508">
        <v>100</v>
      </c>
      <c r="K95" s="513" t="e">
        <f>G21</f>
        <v>#N/A</v>
      </c>
      <c r="L95" s="420" t="e">
        <f>L55</f>
        <v>#DIV/0!</v>
      </c>
      <c r="M95" s="421" t="e">
        <f>K55</f>
        <v>#DIV/0!</v>
      </c>
      <c r="N95" s="422" t="e">
        <f>F85*D105</f>
        <v>#N/A</v>
      </c>
      <c r="O95" s="423" t="e">
        <f>N95/1000</f>
        <v>#N/A</v>
      </c>
      <c r="P95" s="371" t="e">
        <f>N95/(B55*1000)</f>
        <v>#N/A</v>
      </c>
      <c r="Q95" s="987">
        <f>' CMC %'!$C$21</f>
        <v>4.1000000000000002E-2</v>
      </c>
    </row>
    <row r="96" spans="1:25" ht="35.1" customHeight="1" x14ac:dyDescent="0.2">
      <c r="A96" s="1217" t="s">
        <v>77</v>
      </c>
      <c r="B96" s="1218"/>
      <c r="C96" s="1218"/>
      <c r="D96" s="1221"/>
      <c r="E96" s="1222"/>
      <c r="F96" s="571">
        <v>100</v>
      </c>
      <c r="G96" s="35">
        <v>100</v>
      </c>
      <c r="H96" s="35">
        <v>100</v>
      </c>
      <c r="I96" s="35">
        <v>100</v>
      </c>
      <c r="J96" s="509">
        <v>100</v>
      </c>
      <c r="K96" s="514" t="e">
        <f>G22</f>
        <v>#N/A</v>
      </c>
      <c r="L96" s="23" t="e">
        <f>L56</f>
        <v>#DIV/0!</v>
      </c>
      <c r="M96" s="424" t="e">
        <f>K56</f>
        <v>#DIV/0!</v>
      </c>
      <c r="N96" s="425" t="e">
        <f>G85*D105</f>
        <v>#N/A</v>
      </c>
      <c r="O96" s="426" t="e">
        <f>N96/1000</f>
        <v>#N/A</v>
      </c>
      <c r="P96" s="512" t="e">
        <f>N96/(B56*1000)</f>
        <v>#N/A</v>
      </c>
      <c r="Q96" s="988">
        <f>' CMC %'!$C$21</f>
        <v>4.1000000000000002E-2</v>
      </c>
    </row>
    <row r="97" spans="1:25" ht="35.1" customHeight="1" thickBot="1" x14ac:dyDescent="0.25">
      <c r="A97" s="1217" t="s">
        <v>78</v>
      </c>
      <c r="B97" s="1218"/>
      <c r="C97" s="1218"/>
      <c r="D97" s="1221"/>
      <c r="E97" s="1222"/>
      <c r="F97" s="572">
        <v>100</v>
      </c>
      <c r="G97" s="386">
        <v>100</v>
      </c>
      <c r="H97" s="386">
        <v>100</v>
      </c>
      <c r="I97" s="386">
        <v>100</v>
      </c>
      <c r="J97" s="510">
        <v>100</v>
      </c>
      <c r="K97" s="514" t="e">
        <f>G23</f>
        <v>#N/A</v>
      </c>
      <c r="L97" s="23" t="e">
        <f>L57</f>
        <v>#DIV/0!</v>
      </c>
      <c r="M97" s="424" t="e">
        <f>K57</f>
        <v>#DIV/0!</v>
      </c>
      <c r="N97" s="425" t="e">
        <f>H85*D105</f>
        <v>#N/A</v>
      </c>
      <c r="O97" s="426" t="e">
        <f>N97/1000</f>
        <v>#N/A</v>
      </c>
      <c r="P97" s="512" t="e">
        <f>N97/(B57*1000)</f>
        <v>#N/A</v>
      </c>
      <c r="Q97" s="988">
        <f>' CMC %'!$C$21</f>
        <v>4.1000000000000002E-2</v>
      </c>
    </row>
    <row r="98" spans="1:25" ht="50.1" customHeight="1" thickBot="1" x14ac:dyDescent="0.25">
      <c r="A98" s="574"/>
      <c r="B98" s="1312"/>
      <c r="C98" s="1312"/>
      <c r="D98" s="1312"/>
      <c r="E98" s="1313"/>
      <c r="F98" s="573" t="e">
        <f>F83^4/((F80^4/$L$80)+(F81^4/$L$81)+(F82^4/$L$82))</f>
        <v>#N/A</v>
      </c>
      <c r="G98" s="507" t="e">
        <f>G83^4/((G80^4/$L$80)+(G81^4/$L$81)+(G82^4/$L$82))</f>
        <v>#N/A</v>
      </c>
      <c r="H98" s="507" t="e">
        <f>H83^4/((H80^4/$L$80)+(H81^4/$L$81)+(H82^4/$L$82))</f>
        <v>#N/A</v>
      </c>
      <c r="I98" s="507" t="e">
        <f>I83^4/((I80^4/$L$80)+(I81^4/$L$81)+(I82^4/$L$82))</f>
        <v>#N/A</v>
      </c>
      <c r="J98" s="511" t="e">
        <f>J83^4/((J80^4/$L$80)+(J81^4/$L$81)+(J82^4/$L$82))</f>
        <v>#N/A</v>
      </c>
      <c r="K98" s="514" t="e">
        <f>G24</f>
        <v>#N/A</v>
      </c>
      <c r="L98" s="23" t="e">
        <f>L58</f>
        <v>#DIV/0!</v>
      </c>
      <c r="M98" s="427" t="e">
        <f>K58</f>
        <v>#DIV/0!</v>
      </c>
      <c r="N98" s="425" t="e">
        <f>I85*D105</f>
        <v>#N/A</v>
      </c>
      <c r="O98" s="426" t="e">
        <f>N98/1000</f>
        <v>#N/A</v>
      </c>
      <c r="P98" s="512" t="e">
        <f>N98/(B58*1000)</f>
        <v>#N/A</v>
      </c>
      <c r="Q98" s="988">
        <f>' CMC %'!$C$21</f>
        <v>4.1000000000000002E-2</v>
      </c>
    </row>
    <row r="99" spans="1:25" ht="44.1" customHeight="1" thickBot="1" x14ac:dyDescent="0.25">
      <c r="B99" s="1"/>
      <c r="C99" s="1"/>
      <c r="D99" s="1"/>
      <c r="E99" s="1"/>
      <c r="F99" s="1209" t="s">
        <v>25</v>
      </c>
      <c r="G99" s="1210"/>
      <c r="H99" s="1210"/>
      <c r="I99" s="1210"/>
      <c r="J99" s="1211"/>
      <c r="K99" s="428" t="e">
        <f>G25</f>
        <v>#N/A</v>
      </c>
      <c r="L99" s="141" t="e">
        <f>L59</f>
        <v>#DIV/0!</v>
      </c>
      <c r="M99" s="429" t="e">
        <f>K59</f>
        <v>#DIV/0!</v>
      </c>
      <c r="N99" s="430" t="e">
        <f>J85*D105</f>
        <v>#N/A</v>
      </c>
      <c r="O99" s="487" t="e">
        <f>N99/1000</f>
        <v>#N/A</v>
      </c>
      <c r="P99" s="370" t="e">
        <f>N99/(B59*1000)</f>
        <v>#N/A</v>
      </c>
      <c r="Q99" s="989">
        <f>' CMC %'!$C$21</f>
        <v>4.1000000000000002E-2</v>
      </c>
    </row>
    <row r="100" spans="1:25" ht="50.1" customHeight="1" thickBot="1" x14ac:dyDescent="0.25">
      <c r="B100" s="7"/>
      <c r="C100" s="1343"/>
      <c r="D100" s="1344"/>
      <c r="E100" s="1345"/>
      <c r="F100" s="352" t="e">
        <f>F85^4/((F78^4/F93)+(F83^4/F98))</f>
        <v>#N/A</v>
      </c>
      <c r="G100" s="353" t="e">
        <f>G85^4/((G78^4/G93)+(G83^4/G98))</f>
        <v>#N/A</v>
      </c>
      <c r="H100" s="353" t="e">
        <f>H85^4/((H78^4/H93)+(H83^4/H98))</f>
        <v>#N/A</v>
      </c>
      <c r="I100" s="353" t="e">
        <f>I85^4/((I78^4/I93)+(I83^4/I98))</f>
        <v>#N/A</v>
      </c>
      <c r="J100" s="354" t="e">
        <f>J85^4/((J78^4/J93)+(J83^4/J98))</f>
        <v>#N/A</v>
      </c>
    </row>
    <row r="101" spans="1:25" s="7" customFormat="1" ht="26.45" customHeight="1" thickBot="1" x14ac:dyDescent="0.25">
      <c r="B101" s="34"/>
      <c r="C101" s="34"/>
      <c r="E101" s="30"/>
      <c r="F101" s="1233" t="e">
        <f>MAX(F100:J100)</f>
        <v>#N/A</v>
      </c>
      <c r="G101" s="1234"/>
      <c r="H101" s="1234"/>
      <c r="I101" s="1234"/>
      <c r="J101" s="1235"/>
      <c r="R101" s="471"/>
      <c r="S101" s="471"/>
      <c r="T101" s="471"/>
      <c r="U101" s="471"/>
      <c r="V101" s="471"/>
      <c r="W101" s="471"/>
      <c r="X101" s="471"/>
      <c r="Y101" s="471"/>
    </row>
    <row r="102" spans="1:25" ht="35.1" customHeight="1" thickBot="1" x14ac:dyDescent="0.25">
      <c r="B102" s="1"/>
      <c r="C102" s="1"/>
      <c r="D102" s="1"/>
      <c r="E102" s="1"/>
      <c r="F102" s="1209" t="s">
        <v>369</v>
      </c>
      <c r="G102" s="1210"/>
      <c r="H102" s="1210"/>
      <c r="I102" s="1210"/>
      <c r="J102" s="1211"/>
      <c r="K102" s="1"/>
    </row>
    <row r="103" spans="1:25" ht="35.1" customHeight="1" thickBot="1" x14ac:dyDescent="0.25">
      <c r="B103" s="127"/>
      <c r="C103" s="163"/>
      <c r="D103" s="128"/>
      <c r="E103" s="126"/>
      <c r="F103" s="990" t="e">
        <f>_xlfn.T.INV.2T(100%-'DATOS % '!$N8,$F101)</f>
        <v>#N/A</v>
      </c>
      <c r="G103" s="990" t="e">
        <f>_xlfn.T.INV.2T(100%-'DATOS % '!$N8,$F101)</f>
        <v>#N/A</v>
      </c>
      <c r="H103" s="990" t="e">
        <f>_xlfn.T.INV.2T(100%-'DATOS % '!$N8,$F101)</f>
        <v>#N/A</v>
      </c>
      <c r="I103" s="990" t="e">
        <f>_xlfn.T.INV.2T(100%-'DATOS % '!$N8,$F101)</f>
        <v>#N/A</v>
      </c>
      <c r="J103" s="991" t="e">
        <f>_xlfn.T.INV.2T(100%-'DATOS % '!$N8,$F101)</f>
        <v>#N/A</v>
      </c>
      <c r="K103" s="1"/>
    </row>
    <row r="104" spans="1:25" ht="9.9499999999999993" customHeight="1" thickBot="1" x14ac:dyDescent="0.25">
      <c r="K104" s="1"/>
    </row>
    <row r="105" spans="1:25" ht="35.1" customHeight="1" thickBot="1" x14ac:dyDescent="0.25">
      <c r="C105" s="431" t="s">
        <v>325</v>
      </c>
      <c r="D105" s="432">
        <f>'DATOS % '!M8</f>
        <v>2</v>
      </c>
      <c r="F105" s="1209" t="s">
        <v>48</v>
      </c>
      <c r="G105" s="1210"/>
      <c r="H105" s="1211"/>
      <c r="I105" s="918" t="e">
        <f>1-TDIST(J103,F101,2)</f>
        <v>#N/A</v>
      </c>
      <c r="L105" s="6"/>
    </row>
    <row r="106" spans="1:25" s="25" customFormat="1" ht="44.25" customHeight="1" thickBot="1" x14ac:dyDescent="0.25">
      <c r="I106" s="838"/>
      <c r="R106" s="471"/>
      <c r="S106" s="471"/>
      <c r="T106" s="471"/>
      <c r="U106" s="471"/>
      <c r="V106" s="471"/>
      <c r="W106" s="471"/>
      <c r="X106" s="471"/>
      <c r="Y106" s="471"/>
    </row>
    <row r="107" spans="1:25" s="25" customFormat="1" ht="35.1" customHeight="1" thickBot="1" x14ac:dyDescent="0.25">
      <c r="B107" s="1209" t="s">
        <v>386</v>
      </c>
      <c r="C107" s="1413"/>
      <c r="D107" s="1413"/>
      <c r="E107" s="1413"/>
      <c r="F107" s="1413"/>
      <c r="G107" s="1413"/>
      <c r="H107" s="1413"/>
      <c r="I107" s="1413"/>
      <c r="J107" s="1413"/>
      <c r="K107" s="1413"/>
      <c r="L107" s="1413"/>
      <c r="M107" s="1413"/>
      <c r="N107" s="1413"/>
      <c r="O107" s="1413"/>
      <c r="P107" s="1414"/>
      <c r="R107" s="471"/>
      <c r="S107" s="471"/>
      <c r="T107" s="471"/>
      <c r="U107" s="471"/>
      <c r="V107" s="471"/>
      <c r="W107" s="471"/>
      <c r="X107" s="471"/>
      <c r="Y107" s="471"/>
    </row>
    <row r="108" spans="1:25" s="25" customFormat="1" ht="35.1" customHeight="1" thickBot="1" x14ac:dyDescent="0.25">
      <c r="F108" s="299"/>
      <c r="R108" s="471"/>
      <c r="S108" s="471"/>
      <c r="T108" s="471"/>
      <c r="U108" s="471"/>
      <c r="V108" s="471"/>
      <c r="W108" s="471"/>
      <c r="X108" s="471"/>
      <c r="Y108" s="471"/>
    </row>
    <row r="109" spans="1:25" s="25" customFormat="1" ht="33" customHeight="1" x14ac:dyDescent="0.2">
      <c r="B109" s="1291" t="s">
        <v>331</v>
      </c>
      <c r="C109" s="1407" t="s">
        <v>332</v>
      </c>
      <c r="D109" s="1407" t="s">
        <v>333</v>
      </c>
      <c r="E109" s="433" t="s">
        <v>29</v>
      </c>
      <c r="F109" s="1407" t="s">
        <v>30</v>
      </c>
      <c r="G109" s="433" t="s">
        <v>88</v>
      </c>
      <c r="H109" s="1366" t="s">
        <v>339</v>
      </c>
      <c r="I109" s="1366" t="s">
        <v>89</v>
      </c>
      <c r="J109" s="1366" t="s">
        <v>342</v>
      </c>
      <c r="K109" s="434" t="s">
        <v>33</v>
      </c>
      <c r="L109" s="1400" t="s">
        <v>345</v>
      </c>
      <c r="M109" s="1402" t="s">
        <v>346</v>
      </c>
      <c r="R109" s="471"/>
      <c r="S109" s="471"/>
      <c r="T109" s="471"/>
      <c r="U109" s="471"/>
      <c r="V109" s="471"/>
      <c r="W109" s="471"/>
      <c r="X109" s="471"/>
      <c r="Y109" s="471"/>
    </row>
    <row r="110" spans="1:25" s="25" customFormat="1" ht="35.1" customHeight="1" thickBot="1" x14ac:dyDescent="0.25">
      <c r="B110" s="1292"/>
      <c r="C110" s="1408"/>
      <c r="D110" s="1408"/>
      <c r="E110" s="435"/>
      <c r="F110" s="1408"/>
      <c r="G110" s="436"/>
      <c r="H110" s="1367"/>
      <c r="I110" s="1367"/>
      <c r="J110" s="1367"/>
      <c r="K110" s="437"/>
      <c r="L110" s="1401"/>
      <c r="M110" s="1403"/>
      <c r="R110" s="471"/>
      <c r="S110" s="471"/>
      <c r="T110" s="471"/>
      <c r="U110" s="471"/>
      <c r="V110" s="471"/>
      <c r="W110" s="471"/>
      <c r="X110" s="471"/>
      <c r="Y110" s="471"/>
    </row>
    <row r="111" spans="1:25" s="25" customFormat="1" ht="35.1" customHeight="1" x14ac:dyDescent="0.2">
      <c r="B111" s="122" t="e">
        <f>J55</f>
        <v>#DIV/0!</v>
      </c>
      <c r="C111" s="295" t="e">
        <f>L95</f>
        <v>#DIV/0!</v>
      </c>
      <c r="D111" s="450" t="e">
        <f>F85</f>
        <v>#N/A</v>
      </c>
      <c r="E111" s="372" t="e">
        <f>1/D111^2</f>
        <v>#N/A</v>
      </c>
      <c r="F111" s="451" t="e">
        <f>E111*B111*C111</f>
        <v>#N/A</v>
      </c>
      <c r="G111" s="452" t="e">
        <f>E111*B111^2</f>
        <v>#N/A</v>
      </c>
      <c r="H111" s="372" t="e">
        <f>E111*($C$118*B111-C111)^2</f>
        <v>#N/A</v>
      </c>
      <c r="I111" s="452" t="e">
        <f>((($C$119*$C$121)+($C$120*(J55^2))))</f>
        <v>#N/A</v>
      </c>
      <c r="J111" s="295" t="e">
        <f>SQRT(I111)</f>
        <v>#N/A</v>
      </c>
      <c r="K111" s="453" t="e">
        <f>SQRT($C$121+I111)</f>
        <v>#DIV/0!</v>
      </c>
      <c r="L111" s="454" t="e">
        <f>$E$138+$G$138*N130</f>
        <v>#DIV/0!</v>
      </c>
      <c r="M111" s="455" t="e">
        <f>L111/B111</f>
        <v>#DIV/0!</v>
      </c>
      <c r="R111" s="471"/>
      <c r="S111" s="471"/>
      <c r="T111" s="471"/>
      <c r="U111" s="471"/>
      <c r="V111" s="471"/>
      <c r="W111" s="471"/>
      <c r="X111" s="471"/>
      <c r="Y111" s="471"/>
    </row>
    <row r="112" spans="1:25" s="25" customFormat="1" ht="35.1" customHeight="1" x14ac:dyDescent="0.2">
      <c r="B112" s="123" t="e">
        <f>J56</f>
        <v>#DIV/0!</v>
      </c>
      <c r="C112" s="175" t="e">
        <f>L96</f>
        <v>#DIV/0!</v>
      </c>
      <c r="D112" s="175" t="e">
        <f>G85</f>
        <v>#N/A</v>
      </c>
      <c r="E112" s="438" t="e">
        <f t="shared" ref="E112:E115" si="15">1/D112^2</f>
        <v>#N/A</v>
      </c>
      <c r="F112" s="439" t="e">
        <f t="shared" ref="F112:F115" si="16">E112*B112*C112</f>
        <v>#N/A</v>
      </c>
      <c r="G112" s="440" t="e">
        <f t="shared" ref="G112:G115" si="17">E112*B112^2</f>
        <v>#N/A</v>
      </c>
      <c r="H112" s="438" t="e">
        <f>E112*($C$118*B112-C112)^2</f>
        <v>#N/A</v>
      </c>
      <c r="I112" s="440" t="e">
        <f>$C$119*$C$121+$C$120*J56^2</f>
        <v>#N/A</v>
      </c>
      <c r="J112" s="35" t="e">
        <f t="shared" ref="J112:J115" si="18">SQRT(I112)</f>
        <v>#N/A</v>
      </c>
      <c r="K112" s="441" t="e">
        <f>SQRT($C$121+I112)</f>
        <v>#DIV/0!</v>
      </c>
      <c r="L112" s="442" t="e">
        <f t="shared" ref="L112:L115" si="19">$E$138+$G$138*N131</f>
        <v>#DIV/0!</v>
      </c>
      <c r="M112" s="443" t="e">
        <f t="shared" ref="M112:M115" si="20">L112/B112</f>
        <v>#DIV/0!</v>
      </c>
      <c r="R112" s="471"/>
      <c r="S112" s="471"/>
      <c r="T112" s="471"/>
      <c r="U112" s="471"/>
      <c r="V112" s="471"/>
      <c r="W112" s="471"/>
      <c r="X112" s="471"/>
      <c r="Y112" s="471"/>
    </row>
    <row r="113" spans="2:25" s="25" customFormat="1" ht="35.1" customHeight="1" x14ac:dyDescent="0.2">
      <c r="B113" s="123" t="e">
        <f>J57</f>
        <v>#DIV/0!</v>
      </c>
      <c r="C113" s="175" t="e">
        <f>L97</f>
        <v>#DIV/0!</v>
      </c>
      <c r="D113" s="175" t="e">
        <f>H85</f>
        <v>#N/A</v>
      </c>
      <c r="E113" s="438" t="e">
        <f t="shared" si="15"/>
        <v>#N/A</v>
      </c>
      <c r="F113" s="439" t="e">
        <f t="shared" si="16"/>
        <v>#N/A</v>
      </c>
      <c r="G113" s="440" t="e">
        <f t="shared" si="17"/>
        <v>#N/A</v>
      </c>
      <c r="H113" s="438" t="e">
        <f>E113*($C$118*B113-C113)^2</f>
        <v>#N/A</v>
      </c>
      <c r="I113" s="440" t="e">
        <f>$C$119*$C$121+$C$120*J57^2</f>
        <v>#N/A</v>
      </c>
      <c r="J113" s="35" t="e">
        <f t="shared" si="18"/>
        <v>#N/A</v>
      </c>
      <c r="K113" s="441" t="e">
        <f>SQRT($C$121+I113)</f>
        <v>#DIV/0!</v>
      </c>
      <c r="L113" s="442" t="e">
        <f t="shared" si="19"/>
        <v>#DIV/0!</v>
      </c>
      <c r="M113" s="443" t="e">
        <f t="shared" si="20"/>
        <v>#DIV/0!</v>
      </c>
      <c r="R113" s="471"/>
      <c r="S113" s="471"/>
      <c r="T113" s="471"/>
      <c r="U113" s="471"/>
      <c r="V113" s="471"/>
      <c r="W113" s="471"/>
      <c r="X113" s="471"/>
      <c r="Y113" s="471"/>
    </row>
    <row r="114" spans="2:25" s="25" customFormat="1" ht="35.1" customHeight="1" x14ac:dyDescent="0.2">
      <c r="B114" s="123" t="e">
        <f>J58</f>
        <v>#DIV/0!</v>
      </c>
      <c r="C114" s="175" t="e">
        <f>L98</f>
        <v>#DIV/0!</v>
      </c>
      <c r="D114" s="175" t="e">
        <f>I85</f>
        <v>#N/A</v>
      </c>
      <c r="E114" s="438" t="e">
        <f t="shared" si="15"/>
        <v>#N/A</v>
      </c>
      <c r="F114" s="439" t="e">
        <f t="shared" si="16"/>
        <v>#N/A</v>
      </c>
      <c r="G114" s="440" t="e">
        <f t="shared" si="17"/>
        <v>#N/A</v>
      </c>
      <c r="H114" s="438" t="e">
        <f>E114*($C$118*B114-C114)^2</f>
        <v>#N/A</v>
      </c>
      <c r="I114" s="440" t="e">
        <f>$C$119*$C$121+$C$120*J58^2</f>
        <v>#N/A</v>
      </c>
      <c r="J114" s="35" t="e">
        <f t="shared" si="18"/>
        <v>#N/A</v>
      </c>
      <c r="K114" s="441" t="e">
        <f>SQRT($C$121+I114)</f>
        <v>#DIV/0!</v>
      </c>
      <c r="L114" s="442" t="e">
        <f t="shared" si="19"/>
        <v>#DIV/0!</v>
      </c>
      <c r="M114" s="443" t="e">
        <f t="shared" si="20"/>
        <v>#DIV/0!</v>
      </c>
      <c r="R114" s="471"/>
      <c r="S114" s="471"/>
      <c r="T114" s="471"/>
      <c r="U114" s="471"/>
      <c r="V114" s="471"/>
      <c r="W114" s="471"/>
      <c r="X114" s="471"/>
      <c r="Y114" s="471"/>
    </row>
    <row r="115" spans="2:25" s="25" customFormat="1" ht="35.1" customHeight="1" thickBot="1" x14ac:dyDescent="0.25">
      <c r="B115" s="124" t="e">
        <f>J59</f>
        <v>#DIV/0!</v>
      </c>
      <c r="C115" s="136" t="e">
        <f>L99</f>
        <v>#DIV/0!</v>
      </c>
      <c r="D115" s="136" t="e">
        <f>J85</f>
        <v>#N/A</v>
      </c>
      <c r="E115" s="373" t="e">
        <f t="shared" si="15"/>
        <v>#N/A</v>
      </c>
      <c r="F115" s="444" t="e">
        <f t="shared" si="16"/>
        <v>#N/A</v>
      </c>
      <c r="G115" s="445" t="e">
        <f t="shared" si="17"/>
        <v>#N/A</v>
      </c>
      <c r="H115" s="373" t="e">
        <f>E115*($C$118*B115-C115)^2</f>
        <v>#N/A</v>
      </c>
      <c r="I115" s="445" t="e">
        <f>$C$119*$C$121+$C$120*J59^2</f>
        <v>#N/A</v>
      </c>
      <c r="J115" s="446" t="e">
        <f t="shared" si="18"/>
        <v>#N/A</v>
      </c>
      <c r="K115" s="447" t="e">
        <f>SQRT($C$121+I115)</f>
        <v>#DIV/0!</v>
      </c>
      <c r="L115" s="448" t="e">
        <f t="shared" si="19"/>
        <v>#DIV/0!</v>
      </c>
      <c r="M115" s="449" t="e">
        <f t="shared" si="20"/>
        <v>#DIV/0!</v>
      </c>
      <c r="R115" s="471"/>
      <c r="S115" s="471"/>
      <c r="T115" s="471"/>
      <c r="U115" s="471"/>
      <c r="V115" s="471"/>
      <c r="W115" s="471"/>
      <c r="X115" s="471"/>
      <c r="Y115" s="471"/>
    </row>
    <row r="116" spans="2:25" s="25" customFormat="1" ht="35.1" customHeight="1" thickBot="1" x14ac:dyDescent="0.25">
      <c r="E116" s="456" t="s">
        <v>31</v>
      </c>
      <c r="F116" s="457" t="e">
        <f>SUM(F111:F115)</f>
        <v>#N/A</v>
      </c>
      <c r="G116" s="457" t="e">
        <f>SUM(G111:G115)</f>
        <v>#N/A</v>
      </c>
      <c r="H116" s="457" t="e">
        <f t="shared" ref="H116" si="21">SUM(H111:H115)</f>
        <v>#N/A</v>
      </c>
      <c r="I116" s="458" t="e">
        <f>SUM(I111:I115)</f>
        <v>#N/A</v>
      </c>
      <c r="R116" s="471"/>
      <c r="S116" s="471"/>
      <c r="T116" s="471"/>
      <c r="U116" s="471"/>
      <c r="V116" s="471"/>
      <c r="W116" s="471"/>
      <c r="X116" s="471"/>
      <c r="Y116" s="471"/>
    </row>
    <row r="117" spans="2:25" s="25" customFormat="1" ht="35.1" customHeight="1" thickBot="1" x14ac:dyDescent="0.25">
      <c r="R117" s="471"/>
      <c r="S117" s="471"/>
      <c r="T117" s="471"/>
      <c r="U117" s="471"/>
      <c r="V117" s="471"/>
      <c r="W117" s="471"/>
      <c r="X117" s="471"/>
      <c r="Y117" s="471"/>
    </row>
    <row r="118" spans="2:25" s="6" customFormat="1" ht="33" customHeight="1" thickBot="1" x14ac:dyDescent="0.25">
      <c r="B118" s="309" t="s">
        <v>90</v>
      </c>
      <c r="C118" s="315" t="e">
        <f>(F116/G116)</f>
        <v>#N/A</v>
      </c>
      <c r="E118" s="337" t="s">
        <v>349</v>
      </c>
      <c r="F118" s="329">
        <v>1</v>
      </c>
      <c r="G118" s="568" t="s">
        <v>82</v>
      </c>
      <c r="H118" s="569">
        <f>5-2</f>
        <v>3</v>
      </c>
      <c r="M118" s="25"/>
      <c r="N118" s="25"/>
      <c r="R118" s="52"/>
      <c r="S118" s="52"/>
      <c r="T118" s="52"/>
      <c r="U118" s="52"/>
      <c r="V118" s="52"/>
      <c r="W118" s="52"/>
      <c r="X118" s="52"/>
      <c r="Y118" s="52"/>
    </row>
    <row r="119" spans="2:25" s="6" customFormat="1" ht="28.5" customHeight="1" thickBot="1" x14ac:dyDescent="0.25">
      <c r="B119" s="310" t="s">
        <v>91</v>
      </c>
      <c r="C119" s="316" t="e">
        <f>C118^2</f>
        <v>#N/A</v>
      </c>
      <c r="E119" s="338" t="s">
        <v>350</v>
      </c>
      <c r="F119" s="330">
        <v>2</v>
      </c>
      <c r="G119" s="36"/>
      <c r="M119" s="25"/>
      <c r="N119" s="25"/>
      <c r="R119" s="52"/>
      <c r="S119" s="52"/>
      <c r="T119" s="52"/>
      <c r="U119" s="52"/>
      <c r="V119" s="52"/>
      <c r="W119" s="52"/>
      <c r="X119" s="52"/>
      <c r="Y119" s="52"/>
    </row>
    <row r="120" spans="2:25" ht="35.1" customHeight="1" x14ac:dyDescent="0.2">
      <c r="B120" s="311" t="s">
        <v>340</v>
      </c>
      <c r="C120" s="316" t="e">
        <f>1/G116</f>
        <v>#N/A</v>
      </c>
      <c r="E120" s="331" t="s">
        <v>347</v>
      </c>
      <c r="F120" s="317" t="e">
        <f>H116</f>
        <v>#N/A</v>
      </c>
      <c r="K120" s="1404"/>
      <c r="L120" s="1405"/>
      <c r="M120" s="1406"/>
      <c r="N120" s="25"/>
    </row>
    <row r="121" spans="2:25" ht="35.1" customHeight="1" thickBot="1" x14ac:dyDescent="0.25">
      <c r="B121" s="312" t="s">
        <v>92</v>
      </c>
      <c r="C121" s="351" t="e">
        <f>SUMSQ(F74:F77)</f>
        <v>#DIV/0!</v>
      </c>
      <c r="E121" s="332" t="s">
        <v>36</v>
      </c>
      <c r="F121" s="327">
        <v>2</v>
      </c>
      <c r="K121" s="335" t="e">
        <f>ABS(F120-F122)</f>
        <v>#N/A</v>
      </c>
      <c r="L121" s="336" t="s">
        <v>32</v>
      </c>
      <c r="M121" s="341">
        <f>F121*SQRT(2*F122)</f>
        <v>4.8989794855663558</v>
      </c>
      <c r="N121" s="25"/>
    </row>
    <row r="122" spans="2:25" ht="35.1" customHeight="1" thickBot="1" x14ac:dyDescent="0.25">
      <c r="B122" s="313" t="s">
        <v>341</v>
      </c>
      <c r="C122" s="317" t="e">
        <f>(C39/(G34*SQRT(12)))^2</f>
        <v>#DIV/0!</v>
      </c>
      <c r="E122" s="339" t="s">
        <v>37</v>
      </c>
      <c r="F122" s="328">
        <f>H118</f>
        <v>3</v>
      </c>
      <c r="K122" s="1356" t="e">
        <f>IF(K121&lt;=M121,"APROBADO","NO APROBADO")</f>
        <v>#N/A</v>
      </c>
      <c r="L122" s="1357"/>
      <c r="M122" s="1358"/>
      <c r="N122" s="25"/>
    </row>
    <row r="123" spans="2:25" ht="30.75" customHeight="1" thickBot="1" x14ac:dyDescent="0.25">
      <c r="B123" s="314"/>
      <c r="C123" s="318" t="e">
        <f>F48^2</f>
        <v>#DIV/0!</v>
      </c>
      <c r="E123" s="333" t="s">
        <v>53</v>
      </c>
      <c r="F123" s="297" t="e">
        <f>MAX(F103:J103)</f>
        <v>#N/A</v>
      </c>
      <c r="M123" s="25"/>
      <c r="N123" s="25"/>
    </row>
    <row r="124" spans="2:25" ht="30.75" customHeight="1" thickBot="1" x14ac:dyDescent="0.25"/>
    <row r="125" spans="2:25" ht="35.1" customHeight="1" thickBot="1" x14ac:dyDescent="0.25">
      <c r="B125" s="1360"/>
      <c r="C125" s="1361"/>
      <c r="D125" s="1361"/>
      <c r="E125" s="1361"/>
      <c r="F125" s="1361"/>
      <c r="G125" s="1361"/>
      <c r="H125" s="1361"/>
      <c r="I125" s="1361"/>
      <c r="J125" s="1361"/>
      <c r="K125" s="1361"/>
      <c r="L125" s="1361"/>
      <c r="M125" s="1361"/>
      <c r="N125" s="1361"/>
      <c r="O125" s="1361"/>
      <c r="P125" s="1362"/>
    </row>
    <row r="126" spans="2:25" ht="35.1" customHeight="1" x14ac:dyDescent="0.2">
      <c r="C126" s="307" t="s">
        <v>34</v>
      </c>
      <c r="D126" s="368" t="e">
        <f>SLOPE(O130:O134,N130:N134)</f>
        <v>#DIV/0!</v>
      </c>
      <c r="E126" s="1207" t="s">
        <v>80</v>
      </c>
      <c r="F126" s="1208"/>
      <c r="G126" s="308" t="s">
        <v>60</v>
      </c>
      <c r="H126" s="334">
        <v>5</v>
      </c>
      <c r="I126" s="1"/>
      <c r="K126" s="1"/>
    </row>
    <row r="127" spans="2:25" ht="35.1" customHeight="1" thickBot="1" x14ac:dyDescent="0.25">
      <c r="C127" s="165" t="s">
        <v>35</v>
      </c>
      <c r="D127" s="369" t="e">
        <f>INTERCEPT(K111:K115,G21:G25)</f>
        <v>#DIV/0!</v>
      </c>
      <c r="E127" s="1205" t="s">
        <v>81</v>
      </c>
      <c r="F127" s="1206"/>
      <c r="G127" s="166" t="s">
        <v>61</v>
      </c>
      <c r="H127" s="188" t="e">
        <f>D126*H126+D127</f>
        <v>#DIV/0!</v>
      </c>
      <c r="L127" s="6"/>
      <c r="M127" s="49"/>
    </row>
    <row r="128" spans="2:25" ht="35.1" customHeight="1" thickBot="1" x14ac:dyDescent="0.25">
      <c r="L128" s="833"/>
      <c r="M128" s="1359"/>
    </row>
    <row r="129" spans="1:26" ht="35.1" customHeight="1" thickBot="1" x14ac:dyDescent="0.25">
      <c r="L129" s="834"/>
      <c r="M129" s="1359"/>
      <c r="N129" s="282" t="s">
        <v>55</v>
      </c>
      <c r="O129" s="380" t="s">
        <v>258</v>
      </c>
      <c r="R129" s="477" t="s">
        <v>405</v>
      </c>
      <c r="S129" s="477" t="s">
        <v>390</v>
      </c>
      <c r="T129" s="478">
        <v>5</v>
      </c>
      <c r="U129" s="477"/>
      <c r="V129" s="477"/>
      <c r="W129" s="477"/>
      <c r="X129" s="477"/>
      <c r="Y129" s="477"/>
      <c r="Z129" s="396"/>
    </row>
    <row r="130" spans="1:26" ht="35.1" customHeight="1" x14ac:dyDescent="0.2">
      <c r="L130" s="6"/>
      <c r="M130" s="835"/>
      <c r="N130" s="378" t="e">
        <f>G21</f>
        <v>#N/A</v>
      </c>
      <c r="O130" s="379" t="e">
        <f>K111</f>
        <v>#DIV/0!</v>
      </c>
      <c r="R130" s="479" t="s">
        <v>388</v>
      </c>
      <c r="S130" s="480" t="s">
        <v>389</v>
      </c>
      <c r="T130" s="480" t="s">
        <v>391</v>
      </c>
      <c r="U130" s="480" t="s">
        <v>423</v>
      </c>
      <c r="V130" s="481" t="s">
        <v>392</v>
      </c>
      <c r="W130" s="481" t="s">
        <v>393</v>
      </c>
      <c r="X130" s="481" t="s">
        <v>394</v>
      </c>
      <c r="Y130" s="481" t="s">
        <v>395</v>
      </c>
      <c r="Z130" s="396"/>
    </row>
    <row r="131" spans="1:26" ht="35.1" customHeight="1" x14ac:dyDescent="0.2">
      <c r="I131" s="14"/>
      <c r="L131" s="836"/>
      <c r="M131" s="835"/>
      <c r="N131" s="123" t="e">
        <f>G22</f>
        <v>#N/A</v>
      </c>
      <c r="O131" s="827" t="e">
        <f>K112</f>
        <v>#DIV/0!</v>
      </c>
      <c r="R131" s="478" t="e">
        <f t="shared" ref="R131:S135" si="22">N130</f>
        <v>#N/A</v>
      </c>
      <c r="S131" s="478" t="e">
        <f t="shared" si="22"/>
        <v>#DIV/0!</v>
      </c>
      <c r="T131" s="478" t="e">
        <f>R131*S131</f>
        <v>#N/A</v>
      </c>
      <c r="U131" s="478" t="e">
        <f>R131^2</f>
        <v>#N/A</v>
      </c>
      <c r="V131" s="477" t="e">
        <f>R136/T129</f>
        <v>#N/A</v>
      </c>
      <c r="W131" s="482" t="e">
        <f>S136/T129</f>
        <v>#DIV/0!</v>
      </c>
      <c r="X131" s="483" t="e">
        <f>SLOPE(S131:S135,R131:R135)</f>
        <v>#DIV/0!</v>
      </c>
      <c r="Y131" s="477" t="e">
        <f>INTERCEPT(K111:K115,G22:G25)</f>
        <v>#N/A</v>
      </c>
      <c r="Z131" s="396"/>
    </row>
    <row r="132" spans="1:26" ht="35.1" customHeight="1" x14ac:dyDescent="0.2">
      <c r="I132" s="14"/>
      <c r="L132" s="6"/>
      <c r="M132" s="835"/>
      <c r="N132" s="123" t="e">
        <f>G23</f>
        <v>#N/A</v>
      </c>
      <c r="O132" s="827" t="e">
        <f>K113</f>
        <v>#DIV/0!</v>
      </c>
      <c r="R132" s="478" t="e">
        <f t="shared" si="22"/>
        <v>#N/A</v>
      </c>
      <c r="S132" s="478" t="e">
        <f t="shared" si="22"/>
        <v>#DIV/0!</v>
      </c>
      <c r="T132" s="478" t="e">
        <f t="shared" ref="T132:T135" si="23">R132*S132</f>
        <v>#N/A</v>
      </c>
      <c r="U132" s="478" t="e">
        <f t="shared" ref="U132:U135" si="24">R132^2</f>
        <v>#N/A</v>
      </c>
      <c r="V132" s="477"/>
      <c r="W132" s="477"/>
      <c r="X132" s="477"/>
      <c r="Y132" s="477"/>
      <c r="Z132" s="396"/>
    </row>
    <row r="133" spans="1:26" ht="35.1" customHeight="1" x14ac:dyDescent="0.2">
      <c r="I133" s="14"/>
      <c r="L133" s="6"/>
      <c r="M133" s="835"/>
      <c r="N133" s="123" t="e">
        <f>G24</f>
        <v>#N/A</v>
      </c>
      <c r="O133" s="827" t="e">
        <f>K114</f>
        <v>#DIV/0!</v>
      </c>
      <c r="R133" s="478" t="e">
        <f t="shared" si="22"/>
        <v>#N/A</v>
      </c>
      <c r="S133" s="478" t="e">
        <f t="shared" si="22"/>
        <v>#DIV/0!</v>
      </c>
      <c r="T133" s="478" t="e">
        <f t="shared" si="23"/>
        <v>#N/A</v>
      </c>
      <c r="U133" s="478" t="e">
        <f t="shared" si="24"/>
        <v>#N/A</v>
      </c>
      <c r="V133" s="477"/>
      <c r="W133" s="477"/>
      <c r="X133" s="477"/>
      <c r="Y133" s="477"/>
      <c r="Z133" s="396"/>
    </row>
    <row r="134" spans="1:26" ht="35.1" customHeight="1" thickBot="1" x14ac:dyDescent="0.25">
      <c r="A134" s="37"/>
      <c r="I134" s="14"/>
      <c r="L134" s="6"/>
      <c r="M134" s="835"/>
      <c r="N134" s="124" t="e">
        <f>G25</f>
        <v>#N/A</v>
      </c>
      <c r="O134" s="125" t="e">
        <f>K115</f>
        <v>#DIV/0!</v>
      </c>
      <c r="R134" s="478" t="e">
        <f t="shared" si="22"/>
        <v>#N/A</v>
      </c>
      <c r="S134" s="478" t="e">
        <f t="shared" si="22"/>
        <v>#DIV/0!</v>
      </c>
      <c r="T134" s="478" t="e">
        <f t="shared" si="23"/>
        <v>#N/A</v>
      </c>
      <c r="U134" s="478" t="e">
        <f t="shared" si="24"/>
        <v>#N/A</v>
      </c>
      <c r="V134" s="477"/>
      <c r="W134" s="477"/>
      <c r="X134" s="477"/>
      <c r="Y134" s="477"/>
      <c r="Z134" s="396"/>
    </row>
    <row r="135" spans="1:26" ht="35.1" customHeight="1" x14ac:dyDescent="0.2">
      <c r="A135" s="37"/>
      <c r="I135" s="14"/>
      <c r="J135" s="14"/>
      <c r="K135" s="14"/>
      <c r="L135" s="14"/>
      <c r="R135" s="478" t="e">
        <f t="shared" si="22"/>
        <v>#N/A</v>
      </c>
      <c r="S135" s="478" t="e">
        <f t="shared" si="22"/>
        <v>#DIV/0!</v>
      </c>
      <c r="T135" s="478" t="e">
        <f t="shared" si="23"/>
        <v>#N/A</v>
      </c>
      <c r="U135" s="478" t="e">
        <f t="shared" si="24"/>
        <v>#N/A</v>
      </c>
      <c r="V135" s="477"/>
      <c r="W135" s="477"/>
      <c r="X135" s="477"/>
      <c r="Y135" s="477"/>
      <c r="Z135" s="396"/>
    </row>
    <row r="136" spans="1:26" ht="43.5" customHeight="1" thickBot="1" x14ac:dyDescent="0.25">
      <c r="A136" s="37"/>
      <c r="I136" s="38"/>
      <c r="J136" s="38"/>
      <c r="K136" s="38"/>
      <c r="L136" s="38"/>
      <c r="R136" s="484" t="e">
        <f>SUM(R131:R135)</f>
        <v>#N/A</v>
      </c>
      <c r="S136" s="484" t="e">
        <f t="shared" ref="S136:U136" si="25">SUM(S131:S135)</f>
        <v>#DIV/0!</v>
      </c>
      <c r="T136" s="484" t="e">
        <f t="shared" si="25"/>
        <v>#N/A</v>
      </c>
      <c r="U136" s="484" t="e">
        <f t="shared" si="25"/>
        <v>#N/A</v>
      </c>
      <c r="V136" s="485" t="s">
        <v>404</v>
      </c>
      <c r="W136" s="486"/>
      <c r="X136" s="486"/>
      <c r="Y136" s="486"/>
      <c r="Z136" s="37"/>
    </row>
    <row r="137" spans="1:26" s="6" customFormat="1" ht="35.1" customHeight="1" thickBot="1" x14ac:dyDescent="0.25">
      <c r="C137" s="319" t="s">
        <v>93</v>
      </c>
      <c r="D137" s="320"/>
      <c r="E137" s="321" t="e">
        <f>C119*C121</f>
        <v>#N/A</v>
      </c>
      <c r="F137" s="322" t="s">
        <v>56</v>
      </c>
      <c r="G137" s="321" t="e">
        <f>C120+C119*C122</f>
        <v>#N/A</v>
      </c>
      <c r="H137" s="324" t="s">
        <v>94</v>
      </c>
      <c r="L137" s="14"/>
      <c r="M137" s="1"/>
      <c r="N137" s="1"/>
      <c r="O137" s="1"/>
      <c r="P137" s="1"/>
      <c r="Q137" s="1"/>
      <c r="R137" s="474"/>
      <c r="S137" s="474"/>
      <c r="T137" s="474"/>
      <c r="U137" s="52"/>
      <c r="V137" s="52"/>
      <c r="W137" s="52"/>
      <c r="X137" s="52"/>
      <c r="Y137" s="52"/>
    </row>
    <row r="138" spans="1:26" s="6" customFormat="1" ht="35.1" customHeight="1" thickBot="1" x14ac:dyDescent="0.25">
      <c r="A138" s="1"/>
      <c r="C138" s="1398" t="s">
        <v>343</v>
      </c>
      <c r="D138" s="1399"/>
      <c r="E138" s="367" t="e">
        <f>D127*D105</f>
        <v>#DIV/0!</v>
      </c>
      <c r="F138" s="323" t="s">
        <v>56</v>
      </c>
      <c r="G138" s="326" t="e">
        <f>D126*D105</f>
        <v>#DIV/0!</v>
      </c>
      <c r="H138" s="325" t="s">
        <v>344</v>
      </c>
      <c r="M138" s="1"/>
      <c r="N138" s="1"/>
      <c r="O138" s="1"/>
      <c r="P138" s="1"/>
      <c r="Q138" s="1"/>
      <c r="R138" s="474"/>
      <c r="S138" s="474"/>
      <c r="T138" s="474"/>
      <c r="U138" s="52"/>
      <c r="V138" s="52"/>
      <c r="W138" s="52"/>
      <c r="X138" s="52"/>
      <c r="Y138" s="52"/>
    </row>
    <row r="139" spans="1:26" ht="35.1" customHeight="1" thickBot="1" x14ac:dyDescent="0.25"/>
    <row r="140" spans="1:26" ht="35.1" customHeight="1" thickBot="1" x14ac:dyDescent="0.25">
      <c r="B140" s="1363" t="s">
        <v>58</v>
      </c>
      <c r="C140" s="1364"/>
      <c r="D140" s="1364"/>
      <c r="E140" s="1364"/>
      <c r="F140" s="1364"/>
      <c r="G140" s="1364"/>
      <c r="H140" s="1364"/>
      <c r="I140" s="1364"/>
      <c r="J140" s="1364"/>
      <c r="K140" s="1364"/>
      <c r="L140" s="1364"/>
      <c r="M140" s="1364"/>
      <c r="N140" s="1364"/>
      <c r="O140" s="1364"/>
      <c r="P140" s="1365"/>
    </row>
    <row r="141" spans="1:26" ht="35.1" customHeight="1" thickBot="1" x14ac:dyDescent="0.25">
      <c r="F141" s="459" t="s">
        <v>352</v>
      </c>
      <c r="H141" s="1"/>
      <c r="O141" s="294"/>
    </row>
    <row r="142" spans="1:26" ht="35.1" customHeight="1" x14ac:dyDescent="0.2">
      <c r="B142" s="1354" t="s">
        <v>348</v>
      </c>
      <c r="C142" s="1355"/>
      <c r="D142" s="1355"/>
      <c r="E142" s="167" t="s">
        <v>86</v>
      </c>
      <c r="F142" s="372" t="e">
        <f>C118</f>
        <v>#N/A</v>
      </c>
      <c r="G142" s="191" t="s">
        <v>229</v>
      </c>
      <c r="I142" s="1202" t="s">
        <v>54</v>
      </c>
      <c r="J142" s="1203"/>
      <c r="K142" s="1204"/>
      <c r="L142" s="291" t="s">
        <v>59</v>
      </c>
      <c r="M142" s="146" t="e">
        <f>D127*D105</f>
        <v>#DIV/0!</v>
      </c>
      <c r="N142" s="168" t="s">
        <v>56</v>
      </c>
      <c r="O142" s="371" t="e">
        <f>D126*D105</f>
        <v>#DIV/0!</v>
      </c>
      <c r="P142" s="189" t="s">
        <v>229</v>
      </c>
    </row>
    <row r="143" spans="1:26" ht="35.1" customHeight="1" thickBot="1" x14ac:dyDescent="0.25">
      <c r="B143" s="1327" t="s">
        <v>348</v>
      </c>
      <c r="C143" s="1328"/>
      <c r="D143" s="1328"/>
      <c r="E143" s="195" t="s">
        <v>230</v>
      </c>
      <c r="F143" s="373" t="e">
        <f>F142</f>
        <v>#N/A</v>
      </c>
      <c r="G143" s="192" t="s">
        <v>57</v>
      </c>
      <c r="I143" s="1349" t="s">
        <v>54</v>
      </c>
      <c r="J143" s="1350"/>
      <c r="K143" s="1351"/>
      <c r="L143" s="194" t="s">
        <v>226</v>
      </c>
      <c r="M143" s="412" t="e">
        <f>M142/1000</f>
        <v>#DIV/0!</v>
      </c>
      <c r="N143" s="169" t="s">
        <v>56</v>
      </c>
      <c r="O143" s="370" t="e">
        <f>O142/1000</f>
        <v>#DIV/0!</v>
      </c>
      <c r="P143" s="190" t="s">
        <v>57</v>
      </c>
    </row>
    <row r="144" spans="1:26" ht="35.1" customHeight="1" x14ac:dyDescent="0.2">
      <c r="J144" s="1"/>
    </row>
    <row r="145" spans="6:15" ht="35.1" customHeight="1" x14ac:dyDescent="0.2">
      <c r="F145" s="342"/>
      <c r="J145" s="1"/>
      <c r="K145" s="1"/>
    </row>
    <row r="146" spans="6:15" ht="35.1" customHeight="1" x14ac:dyDescent="0.2">
      <c r="F146" s="289"/>
      <c r="H146" s="39"/>
      <c r="O146" s="184"/>
    </row>
    <row r="148" spans="6:15" ht="35.1" customHeight="1" x14ac:dyDescent="0.2">
      <c r="M148" s="37"/>
      <c r="N148" s="37"/>
      <c r="O148" s="37"/>
    </row>
    <row r="149" spans="6:15" ht="35.1" customHeight="1" x14ac:dyDescent="0.2">
      <c r="M149" s="37"/>
      <c r="N149" s="37"/>
      <c r="O149" s="37"/>
    </row>
    <row r="150" spans="6:15" ht="35.1" customHeight="1" x14ac:dyDescent="0.2">
      <c r="M150" s="37"/>
      <c r="N150" s="37"/>
      <c r="O150" s="37"/>
    </row>
    <row r="151" spans="6:15" ht="35.1" customHeight="1" x14ac:dyDescent="0.2">
      <c r="M151" s="37"/>
      <c r="N151" s="37"/>
      <c r="O151" s="37"/>
    </row>
    <row r="152" spans="6:15" ht="35.1" customHeight="1" x14ac:dyDescent="0.2">
      <c r="M152" s="821"/>
      <c r="N152" s="821"/>
      <c r="O152" s="821"/>
    </row>
    <row r="153" spans="6:15" ht="35.1" customHeight="1" x14ac:dyDescent="0.2">
      <c r="M153" s="37"/>
      <c r="N153" s="37"/>
      <c r="O153" s="37"/>
    </row>
    <row r="154" spans="6:15" ht="35.1" customHeight="1" x14ac:dyDescent="0.2">
      <c r="M154" s="37"/>
      <c r="N154" s="37"/>
      <c r="O154" s="822"/>
    </row>
  </sheetData>
  <sheetProtection password="CF5C" sheet="1" objects="1" scenarios="1"/>
  <dataConsolidate>
    <dataRefs count="2">
      <dataRef ref="C5:D7" sheet="DATOS DE LOS PATRONES " r:id="rId1"/>
      <dataRef ref="K5:L7" sheet="DATOS DE LOS PATRONES " r:id="rId2"/>
    </dataRefs>
  </dataConsolidate>
  <mergeCells count="137">
    <mergeCell ref="A1:C3"/>
    <mergeCell ref="D1:Q3"/>
    <mergeCell ref="C138:D138"/>
    <mergeCell ref="L109:L110"/>
    <mergeCell ref="M109:M110"/>
    <mergeCell ref="K120:M120"/>
    <mergeCell ref="C109:C110"/>
    <mergeCell ref="D109:D110"/>
    <mergeCell ref="G11:H11"/>
    <mergeCell ref="B15:C15"/>
    <mergeCell ref="B107:P107"/>
    <mergeCell ref="G15:H15"/>
    <mergeCell ref="I15:J15"/>
    <mergeCell ref="F109:F110"/>
    <mergeCell ref="A73:B73"/>
    <mergeCell ref="A74:B74"/>
    <mergeCell ref="A72:E72"/>
    <mergeCell ref="H109:H110"/>
    <mergeCell ref="I109:I110"/>
    <mergeCell ref="M41:O41"/>
    <mergeCell ref="F102:J102"/>
    <mergeCell ref="N54:O54"/>
    <mergeCell ref="O85:Q85"/>
    <mergeCell ref="A90:C90"/>
    <mergeCell ref="P93:P94"/>
    <mergeCell ref="D97:E97"/>
    <mergeCell ref="B61:I61"/>
    <mergeCell ref="F79:J79"/>
    <mergeCell ref="F69:J69"/>
    <mergeCell ref="A89:C89"/>
    <mergeCell ref="D89:E89"/>
    <mergeCell ref="A91:C91"/>
    <mergeCell ref="D91:E91"/>
    <mergeCell ref="M93:M94"/>
    <mergeCell ref="A67:L67"/>
    <mergeCell ref="F72:J72"/>
    <mergeCell ref="C75:E75"/>
    <mergeCell ref="C77:E77"/>
    <mergeCell ref="C78:E78"/>
    <mergeCell ref="C85:E85"/>
    <mergeCell ref="B93:E93"/>
    <mergeCell ref="B143:D143"/>
    <mergeCell ref="B12:C12"/>
    <mergeCell ref="I12:J12"/>
    <mergeCell ref="I13:J13"/>
    <mergeCell ref="B27:K27"/>
    <mergeCell ref="G28:H28"/>
    <mergeCell ref="F29:G29"/>
    <mergeCell ref="K31:L31"/>
    <mergeCell ref="C100:E100"/>
    <mergeCell ref="B42:J42"/>
    <mergeCell ref="I143:K143"/>
    <mergeCell ref="B13:C13"/>
    <mergeCell ref="G12:H12"/>
    <mergeCell ref="B14:C14"/>
    <mergeCell ref="B142:D142"/>
    <mergeCell ref="K122:M122"/>
    <mergeCell ref="M128:M129"/>
    <mergeCell ref="I14:J14"/>
    <mergeCell ref="G14:H14"/>
    <mergeCell ref="G13:H13"/>
    <mergeCell ref="B65:C65"/>
    <mergeCell ref="B125:P125"/>
    <mergeCell ref="B140:P140"/>
    <mergeCell ref="J109:J110"/>
    <mergeCell ref="B109:B110"/>
    <mergeCell ref="G8:J8"/>
    <mergeCell ref="I9:J9"/>
    <mergeCell ref="G9:H9"/>
    <mergeCell ref="B8:E8"/>
    <mergeCell ref="B9:C9"/>
    <mergeCell ref="B10:C10"/>
    <mergeCell ref="B11:C11"/>
    <mergeCell ref="G10:H10"/>
    <mergeCell ref="I10:J10"/>
    <mergeCell ref="I11:J11"/>
    <mergeCell ref="D18:D19"/>
    <mergeCell ref="B18:C20"/>
    <mergeCell ref="F18:F19"/>
    <mergeCell ref="G18:J18"/>
    <mergeCell ref="B98:E98"/>
    <mergeCell ref="D90:E90"/>
    <mergeCell ref="F84:J84"/>
    <mergeCell ref="C82:E82"/>
    <mergeCell ref="C83:E83"/>
    <mergeCell ref="C80:E80"/>
    <mergeCell ref="A80:B80"/>
    <mergeCell ref="C73:E73"/>
    <mergeCell ref="C74:E74"/>
    <mergeCell ref="M42:O49"/>
    <mergeCell ref="N55:O55"/>
    <mergeCell ref="A75:B75"/>
    <mergeCell ref="B29:C29"/>
    <mergeCell ref="B21:C23"/>
    <mergeCell ref="B64:C64"/>
    <mergeCell ref="N52:O52"/>
    <mergeCell ref="N93:N94"/>
    <mergeCell ref="O93:O94"/>
    <mergeCell ref="A82:B82"/>
    <mergeCell ref="A92:C92"/>
    <mergeCell ref="A81:B81"/>
    <mergeCell ref="C81:E81"/>
    <mergeCell ref="F88:J88"/>
    <mergeCell ref="D23:F23"/>
    <mergeCell ref="C24:D24"/>
    <mergeCell ref="B33:G33"/>
    <mergeCell ref="B31:I31"/>
    <mergeCell ref="D20:F21"/>
    <mergeCell ref="G19:G20"/>
    <mergeCell ref="H19:H20"/>
    <mergeCell ref="I19:I20"/>
    <mergeCell ref="J19:J20"/>
    <mergeCell ref="D92:E92"/>
    <mergeCell ref="J5:J6"/>
    <mergeCell ref="B53:E53"/>
    <mergeCell ref="I142:K142"/>
    <mergeCell ref="E127:F127"/>
    <mergeCell ref="E126:F126"/>
    <mergeCell ref="G53:L53"/>
    <mergeCell ref="F87:J87"/>
    <mergeCell ref="F105:H105"/>
    <mergeCell ref="F99:J99"/>
    <mergeCell ref="F94:J94"/>
    <mergeCell ref="A95:C95"/>
    <mergeCell ref="A96:C96"/>
    <mergeCell ref="A97:C97"/>
    <mergeCell ref="D95:E95"/>
    <mergeCell ref="D96:E96"/>
    <mergeCell ref="A77:B77"/>
    <mergeCell ref="A76:B76"/>
    <mergeCell ref="K93:K94"/>
    <mergeCell ref="L93:L94"/>
    <mergeCell ref="B17:J17"/>
    <mergeCell ref="F101:J101"/>
    <mergeCell ref="B52:L52"/>
    <mergeCell ref="B41:K41"/>
    <mergeCell ref="K28:K29"/>
  </mergeCells>
  <conditionalFormatting sqref="K122">
    <cfRule type="cellIs" dxfId="0" priority="2" operator="greaterThan">
      <formula>$K$121</formula>
    </cfRule>
  </conditionalFormatting>
  <printOptions horizontalCentered="1"/>
  <pageMargins left="0.23622047244094491" right="0.23622047244094491" top="0.74803149606299213" bottom="0.74803149606299213" header="0.31496062992125984" footer="0.31496062992125984"/>
  <pageSetup scale="33" orientation="portrait" r:id="rId3"/>
  <headerFooter>
    <oddHeader xml:space="preserve">&amp;C
HOJA DE CÁLCULO PARA INSTRUMENTOS DE PESAJE DE FUNCIONAMIENTO NO AUTOMÁTICO - IPFNA&amp;R&amp;"-,Negrita"&amp;12
             </oddHeader>
    <oddFooter>&amp;R&amp;8
  RT03-F12  Vr.13 (2021-05-18)
Página  &amp;P de &amp;N</oddFooter>
  </headerFooter>
  <rowBreaks count="3" manualBreakCount="3">
    <brk id="30" max="16" man="1"/>
    <brk id="50" max="16383" man="1"/>
    <brk id="106" max="16" man="1"/>
  </rowBreaks>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0000000}">
          <x14:formula1>
            <xm:f>'DATOS % '!$C$7:$C$9</xm:f>
          </x14:formula1>
          <xm:sqref>J5:J6</xm:sqref>
        </x14:dataValidation>
        <x14:dataValidation type="list" allowBlank="1" showInputMessage="1" showErrorMessage="1" xr:uid="{00000000-0002-0000-0100-000001000000}">
          <x14:formula1>
            <xm:f>'DATOS % '!$C$16:$C$22</xm:f>
          </x14:formula1>
          <xm:sqref>F8</xm:sqref>
        </x14:dataValidation>
        <x14:dataValidation type="list" allowBlank="1" showInputMessage="1" showErrorMessage="1" xr:uid="{00000000-0002-0000-0100-000002000000}">
          <x14:formula1>
            <xm:f>'DATOS % '!$B$27:$B$89</xm:f>
          </x14:formula1>
          <xm:sqref>K8</xm:sqref>
        </x14:dataValidation>
        <x14:dataValidation type="list" allowBlank="1" showInputMessage="1" showErrorMessage="1" xr:uid="{00000000-0002-0000-0100-000003000000}">
          <x14:formula1>
            <xm:f>'DATOS % '!$L$27:$L$52</xm:f>
          </x14:formula1>
          <xm:sqref>D22:F22</xm:sqref>
        </x14:dataValidation>
        <x14:dataValidation type="list" allowBlank="1" showInputMessage="1" showErrorMessage="1" xr:uid="{00000000-0002-0000-0100-000004000000}">
          <x14:formula1>
            <xm:f>'DATOS % '!$G$161:$G$166</xm:f>
          </x14:formula1>
          <xm:sqref>K28:K29</xm:sqref>
        </x14:dataValidation>
        <x14:dataValidation type="list" allowBlank="1" showInputMessage="1" showErrorMessage="1" xr:uid="{00000000-0002-0000-0100-000005000000}">
          <x14:formula1>
            <xm:f>'DATOS % '!$A$157:$A$160</xm:f>
          </x14:formula1>
          <xm:sqref>N52:O52</xm:sqref>
        </x14:dataValidation>
        <x14:dataValidation type="list" allowBlank="1" showInputMessage="1" showErrorMessage="1" xr:uid="{00000000-0002-0000-0100-000006000000}">
          <x14:formula1>
            <xm:f>'DATOS % '!$C$27:$C$89</xm:f>
          </x14:formula1>
          <xm:sqref>E24</xm:sqref>
        </x14:dataValidation>
        <x14:dataValidation type="list" allowBlank="1" showInputMessage="1" showErrorMessage="1" xr:uid="{00000000-0002-0000-0100-000007000000}">
          <x14:formula1>
            <xm:f>'DATOS % '!$C$27:$C$92</xm:f>
          </x14:formula1>
          <xm:sqref>K21:K25</xm:sqref>
        </x14:dataValidation>
        <x14:dataValidation type="list" allowBlank="1" showInputMessage="1" showErrorMessage="1" xr:uid="{00000000-0002-0000-0100-000008000000}">
          <x14:formula1>
            <xm:f>'DATOS % '!$K$28:$K$47</xm:f>
          </x14:formula1>
          <xm:sqref>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7030A0"/>
  </sheetPr>
  <dimension ref="A1:V23"/>
  <sheetViews>
    <sheetView showGridLines="0" view="pageBreakPreview" zoomScale="70" zoomScaleNormal="66" zoomScaleSheetLayoutView="70" workbookViewId="0">
      <selection activeCell="D1" sqref="D1:K1"/>
    </sheetView>
  </sheetViews>
  <sheetFormatPr baseColWidth="10" defaultRowHeight="15" x14ac:dyDescent="0.25"/>
  <cols>
    <col min="2" max="2" width="14.5703125" customWidth="1"/>
    <col min="3" max="3" width="12" customWidth="1"/>
    <col min="5" max="5" width="13.42578125" customWidth="1"/>
    <col min="7" max="7" width="13.140625" bestFit="1" customWidth="1"/>
    <col min="8" max="8" width="25.140625" customWidth="1"/>
    <col min="9" max="9" width="12" customWidth="1"/>
    <col min="10" max="10" width="12.28515625" bestFit="1" customWidth="1"/>
  </cols>
  <sheetData>
    <row r="1" spans="1:22" ht="77.099999999999994" customHeight="1" x14ac:dyDescent="0.25">
      <c r="A1" s="1433"/>
      <c r="B1" s="1433"/>
      <c r="C1" s="1434"/>
      <c r="D1" s="1435" t="s">
        <v>519</v>
      </c>
      <c r="E1" s="1436"/>
      <c r="F1" s="1436"/>
      <c r="G1" s="1436"/>
      <c r="H1" s="1436"/>
      <c r="I1" s="1436"/>
      <c r="J1" s="1436"/>
      <c r="K1" s="1437"/>
      <c r="L1" s="920"/>
      <c r="M1" s="920"/>
      <c r="N1" s="920"/>
      <c r="O1" s="920"/>
      <c r="P1" s="920"/>
      <c r="Q1" s="920"/>
      <c r="R1" s="920"/>
      <c r="S1" s="920"/>
      <c r="T1" s="920"/>
      <c r="U1" s="920"/>
      <c r="V1" s="920"/>
    </row>
    <row r="2" spans="1:22" ht="15.75" thickBot="1" x14ac:dyDescent="0.3"/>
    <row r="3" spans="1:22" ht="15.75" thickBot="1" x14ac:dyDescent="0.3">
      <c r="B3" s="1427" t="s">
        <v>355</v>
      </c>
      <c r="C3" s="1428"/>
      <c r="D3" s="1428"/>
      <c r="E3" s="1428"/>
      <c r="F3" s="1428"/>
      <c r="G3" s="1428"/>
      <c r="H3" s="1428"/>
      <c r="I3" s="1429"/>
    </row>
    <row r="4" spans="1:22" ht="15.75" thickBot="1" x14ac:dyDescent="0.3">
      <c r="B4" s="1430" t="s">
        <v>361</v>
      </c>
      <c r="C4" s="1431"/>
      <c r="D4" s="1431"/>
      <c r="E4" s="1431"/>
      <c r="F4" s="1431"/>
      <c r="G4" s="1431"/>
      <c r="H4" s="1431"/>
      <c r="I4" s="1432"/>
    </row>
    <row r="5" spans="1:22" ht="58.5" customHeight="1" x14ac:dyDescent="0.25">
      <c r="B5" s="489" t="s">
        <v>428</v>
      </c>
      <c r="C5" s="490" t="s">
        <v>422</v>
      </c>
      <c r="D5" s="490" t="s">
        <v>280</v>
      </c>
      <c r="E5" s="490" t="s">
        <v>353</v>
      </c>
      <c r="F5" s="490" t="s">
        <v>426</v>
      </c>
      <c r="G5" s="490" t="s">
        <v>427</v>
      </c>
      <c r="H5" s="488" t="s">
        <v>429</v>
      </c>
      <c r="I5" s="491" t="s">
        <v>359</v>
      </c>
    </row>
    <row r="6" spans="1:22" x14ac:dyDescent="0.25">
      <c r="B6" s="345">
        <v>5</v>
      </c>
      <c r="C6" s="406" t="e">
        <f>' RT03-F15 %'!C103</f>
        <v>#DIV/0!</v>
      </c>
      <c r="D6" s="406" t="e">
        <f>' RT03-F15 %'!D103</f>
        <v>#N/A</v>
      </c>
      <c r="E6" s="363" t="e">
        <f>D6/B6</f>
        <v>#N/A</v>
      </c>
      <c r="F6" s="1444" t="e">
        <f>MAX(E6:E10)</f>
        <v>#N/A</v>
      </c>
      <c r="G6" s="1447" t="e">
        <f>MIN(E6:E10)</f>
        <v>#N/A</v>
      </c>
      <c r="H6" s="406" t="e">
        <f>'RT03-F12 %'!$M$143+('RT03-F12 %'!$O$143*' CMC %'!B6)</f>
        <v>#DIV/0!</v>
      </c>
      <c r="I6" s="347" t="e">
        <f>H6/B6</f>
        <v>#DIV/0!</v>
      </c>
      <c r="J6" s="515" t="e">
        <f>'RT03-F12 %'!$M$143+(' CMC %'!D21*' CMC %'!B6)</f>
        <v>#DIV/0!</v>
      </c>
    </row>
    <row r="7" spans="1:22" x14ac:dyDescent="0.25">
      <c r="B7" s="460">
        <v>1000</v>
      </c>
      <c r="C7" s="406" t="e">
        <f>' RT03-F15 %'!C104</f>
        <v>#DIV/0!</v>
      </c>
      <c r="D7" s="406" t="e">
        <f>' RT03-F15 %'!D104</f>
        <v>#N/A</v>
      </c>
      <c r="E7" s="363" t="e">
        <f t="shared" ref="E7:E10" si="0">D7/B7</f>
        <v>#N/A</v>
      </c>
      <c r="F7" s="1445"/>
      <c r="G7" s="1448"/>
      <c r="H7" s="406" t="e">
        <f>'RT03-F12 %'!$M$143+('RT03-F12 %'!$O$143*' CMC %'!B7)</f>
        <v>#DIV/0!</v>
      </c>
      <c r="I7" s="347" t="e">
        <f t="shared" ref="I7:I9" si="1">H7/B7</f>
        <v>#DIV/0!</v>
      </c>
      <c r="J7" s="515" t="e">
        <f>'RT03-F12 %'!$M$143+(' CMC %'!D21*' CMC %'!B7)</f>
        <v>#DIV/0!</v>
      </c>
    </row>
    <row r="8" spans="1:22" x14ac:dyDescent="0.25">
      <c r="B8" s="460">
        <v>2000</v>
      </c>
      <c r="C8" s="406" t="e">
        <f>' RT03-F15 %'!C105</f>
        <v>#DIV/0!</v>
      </c>
      <c r="D8" s="344" t="e">
        <f>' RT03-F15 %'!D105</f>
        <v>#N/A</v>
      </c>
      <c r="E8" s="363" t="e">
        <f t="shared" si="0"/>
        <v>#N/A</v>
      </c>
      <c r="F8" s="1445"/>
      <c r="G8" s="1448"/>
      <c r="H8" s="406" t="e">
        <f>'RT03-F12 %'!$M$143+('RT03-F12 %'!$O$143*' CMC %'!B8)</f>
        <v>#DIV/0!</v>
      </c>
      <c r="I8" s="347" t="e">
        <f t="shared" si="1"/>
        <v>#DIV/0!</v>
      </c>
      <c r="J8" s="515" t="e">
        <f>'RT03-F12 %'!$M$143+(' CMC %'!D21*' CMC %'!B8)</f>
        <v>#DIV/0!</v>
      </c>
    </row>
    <row r="9" spans="1:22" x14ac:dyDescent="0.25">
      <c r="B9" s="460">
        <v>5000</v>
      </c>
      <c r="C9" s="344" t="e">
        <f>' RT03-F15 %'!C106</f>
        <v>#DIV/0!</v>
      </c>
      <c r="D9" s="344" t="e">
        <f>' RT03-F15 %'!D106</f>
        <v>#N/A</v>
      </c>
      <c r="E9" s="363" t="e">
        <f t="shared" si="0"/>
        <v>#N/A</v>
      </c>
      <c r="F9" s="1445"/>
      <c r="G9" s="1448"/>
      <c r="H9" s="344" t="e">
        <f>'RT03-F12 %'!$M$143+('RT03-F12 %'!$O$143*' CMC %'!B9)</f>
        <v>#DIV/0!</v>
      </c>
      <c r="I9" s="347" t="e">
        <f t="shared" si="1"/>
        <v>#DIV/0!</v>
      </c>
      <c r="J9" s="515" t="e">
        <f>'RT03-F12 %'!$M$143+(' CMC %'!D21*' CMC %'!B9)</f>
        <v>#DIV/0!</v>
      </c>
    </row>
    <row r="10" spans="1:22" ht="15.75" thickBot="1" x14ac:dyDescent="0.3">
      <c r="B10" s="461">
        <v>8200</v>
      </c>
      <c r="C10" s="346" t="e">
        <f>' RT03-F15 %'!C107</f>
        <v>#DIV/0!</v>
      </c>
      <c r="D10" s="346" t="e">
        <f>' RT03-F15 %'!D107</f>
        <v>#N/A</v>
      </c>
      <c r="E10" s="364" t="e">
        <f t="shared" si="0"/>
        <v>#N/A</v>
      </c>
      <c r="F10" s="1446"/>
      <c r="G10" s="1449"/>
      <c r="H10" s="346" t="e">
        <f>'RT03-F12 %'!$M$143+('RT03-F12 %'!$O$143*' CMC %'!B10)</f>
        <v>#DIV/0!</v>
      </c>
      <c r="I10" s="407" t="e">
        <f>H10/B10</f>
        <v>#DIV/0!</v>
      </c>
      <c r="J10" s="515" t="e">
        <f>'RT03-F12 %'!$M$143+(' CMC %'!D21*' CMC %'!B10)</f>
        <v>#DIV/0!</v>
      </c>
    </row>
    <row r="11" spans="1:22" x14ac:dyDescent="0.25">
      <c r="B11" s="343"/>
      <c r="C11" s="343"/>
      <c r="D11" s="343"/>
      <c r="E11" s="343"/>
      <c r="F11" s="343"/>
      <c r="G11" s="343"/>
      <c r="J11" s="516"/>
    </row>
    <row r="12" spans="1:22" ht="15.75" thickBot="1" x14ac:dyDescent="0.3"/>
    <row r="13" spans="1:22" ht="51" customHeight="1" thickBot="1" x14ac:dyDescent="0.3">
      <c r="B13" s="1450" t="s">
        <v>537</v>
      </c>
      <c r="C13" s="1451"/>
      <c r="D13" s="1451"/>
      <c r="E13" s="1451"/>
      <c r="F13" s="1451"/>
      <c r="G13" s="1451"/>
      <c r="H13" s="1451"/>
      <c r="I13" s="1451"/>
      <c r="J13" s="1451"/>
      <c r="K13" s="1452"/>
    </row>
    <row r="14" spans="1:22" ht="15.75" thickBot="1" x14ac:dyDescent="0.3"/>
    <row r="15" spans="1:22" ht="72.75" customHeight="1" x14ac:dyDescent="0.25">
      <c r="B15" s="492" t="s">
        <v>424</v>
      </c>
      <c r="C15" s="493" t="s">
        <v>357</v>
      </c>
      <c r="D15" s="1441" t="s">
        <v>356</v>
      </c>
      <c r="G15" s="866" t="s">
        <v>425</v>
      </c>
      <c r="H15" s="867" t="s">
        <v>360</v>
      </c>
    </row>
    <row r="16" spans="1:22" x14ac:dyDescent="0.25">
      <c r="B16" s="949">
        <v>200</v>
      </c>
      <c r="C16" s="950">
        <v>1</v>
      </c>
      <c r="D16" s="1442"/>
    </row>
    <row r="17" spans="2:4" x14ac:dyDescent="0.25">
      <c r="B17" s="951">
        <v>1000</v>
      </c>
      <c r="C17" s="950">
        <v>5</v>
      </c>
      <c r="D17" s="1442"/>
    </row>
    <row r="18" spans="2:4" x14ac:dyDescent="0.25">
      <c r="B18" s="951">
        <v>2000</v>
      </c>
      <c r="C18" s="952">
        <v>10</v>
      </c>
      <c r="D18" s="1442"/>
    </row>
    <row r="19" spans="2:4" ht="15.75" thickBot="1" x14ac:dyDescent="0.3">
      <c r="B19" s="953">
        <v>5000</v>
      </c>
      <c r="C19" s="954">
        <v>25</v>
      </c>
      <c r="D19" s="1443"/>
    </row>
    <row r="20" spans="2:4" ht="15.75" thickBot="1" x14ac:dyDescent="0.3">
      <c r="B20" s="1438" t="s">
        <v>358</v>
      </c>
      <c r="C20" s="1439"/>
      <c r="D20" s="1440"/>
    </row>
    <row r="21" spans="2:4" ht="23.25" customHeight="1" thickBot="1" x14ac:dyDescent="0.3">
      <c r="B21" s="946">
        <f>SUM(B16:B19)</f>
        <v>8200</v>
      </c>
      <c r="C21" s="947">
        <f>SUM(C16:C19)/1000</f>
        <v>4.1000000000000002E-2</v>
      </c>
      <c r="D21" s="948">
        <f>C21/B21</f>
        <v>5.0000000000000004E-6</v>
      </c>
    </row>
    <row r="22" spans="2:4" ht="15.75" thickBot="1" x14ac:dyDescent="0.3"/>
    <row r="23" spans="2:4" ht="15.75" thickBot="1" x14ac:dyDescent="0.3">
      <c r="D23" s="408" t="e">
        <f>MIN(D21,E10,I10)</f>
        <v>#N/A</v>
      </c>
    </row>
  </sheetData>
  <sheetProtection password="CF5C" sheet="1" objects="1" scenarios="1"/>
  <mergeCells count="9">
    <mergeCell ref="B3:I3"/>
    <mergeCell ref="B4:I4"/>
    <mergeCell ref="A1:C1"/>
    <mergeCell ref="D1:K1"/>
    <mergeCell ref="B20:D20"/>
    <mergeCell ref="D15:D19"/>
    <mergeCell ref="F6:F10"/>
    <mergeCell ref="G6:G10"/>
    <mergeCell ref="B13:K13"/>
  </mergeCells>
  <printOptions horizontalCentered="1"/>
  <pageMargins left="0.23622047244094491" right="0.23622047244094491" top="0.74803149606299213" bottom="0.74803149606299213" header="0.31496062992125984" footer="0.31496062992125984"/>
  <pageSetup scale="33" orientation="portrait" r:id="rId1"/>
  <headerFooter>
    <oddHeader xml:space="preserve">&amp;C
HOJA DE CÁLCULO PARA INSTRUMENTOS DE PESAJE DE FUNCIONAMIENTO NO AUTOMÁTICO - IPFNA&amp;R&amp;"-,Negrita"&amp;12
             </oddHeader>
    <oddFooter>&amp;R&amp;8
  RT03-F12  Vr.13 (2021-05-21)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7030A0"/>
  </sheetPr>
  <dimension ref="A1:V11"/>
  <sheetViews>
    <sheetView showGridLines="0" view="pageBreakPreview" zoomScale="80" zoomScaleNormal="66" zoomScaleSheetLayoutView="80" workbookViewId="0">
      <selection activeCell="E1" sqref="E1:Q3"/>
    </sheetView>
  </sheetViews>
  <sheetFormatPr baseColWidth="10" defaultRowHeight="15" x14ac:dyDescent="0.25"/>
  <cols>
    <col min="3" max="5" width="15.5703125" customWidth="1"/>
    <col min="6" max="6" width="18" customWidth="1"/>
    <col min="7" max="7" width="18.85546875" customWidth="1"/>
    <col min="8" max="9" width="15.5703125" customWidth="1"/>
    <col min="10" max="10" width="17.42578125" customWidth="1"/>
    <col min="11" max="13" width="18.7109375" customWidth="1"/>
    <col min="14" max="14" width="17.42578125" customWidth="1"/>
  </cols>
  <sheetData>
    <row r="1" spans="1:22" s="397" customFormat="1" ht="30" customHeight="1" x14ac:dyDescent="0.2">
      <c r="A1" s="1453"/>
      <c r="B1" s="1454"/>
      <c r="C1" s="1455"/>
      <c r="D1" s="1456"/>
      <c r="E1" s="1461" t="s">
        <v>519</v>
      </c>
      <c r="F1" s="1462"/>
      <c r="G1" s="1462"/>
      <c r="H1" s="1462"/>
      <c r="I1" s="1462"/>
      <c r="J1" s="1462"/>
      <c r="K1" s="1462"/>
      <c r="L1" s="1462"/>
      <c r="M1" s="1462"/>
      <c r="N1" s="1462"/>
      <c r="O1" s="1462"/>
      <c r="P1" s="1462"/>
      <c r="Q1" s="1463"/>
      <c r="R1" s="919"/>
      <c r="S1" s="919"/>
      <c r="T1" s="919"/>
      <c r="U1" s="919"/>
      <c r="V1" s="919"/>
    </row>
    <row r="2" spans="1:22" s="397" customFormat="1" ht="30" customHeight="1" x14ac:dyDescent="0.2">
      <c r="A2" s="1457"/>
      <c r="B2" s="1458"/>
      <c r="C2" s="1458"/>
      <c r="D2" s="1459"/>
      <c r="E2" s="1464"/>
      <c r="F2" s="1465"/>
      <c r="G2" s="1465"/>
      <c r="H2" s="1465"/>
      <c r="I2" s="1465"/>
      <c r="J2" s="1465"/>
      <c r="K2" s="1465"/>
      <c r="L2" s="1465"/>
      <c r="M2" s="1465"/>
      <c r="N2" s="1465"/>
      <c r="O2" s="1465"/>
      <c r="P2" s="1465"/>
      <c r="Q2" s="1466"/>
    </row>
    <row r="3" spans="1:22" s="397" customFormat="1" ht="30" customHeight="1" x14ac:dyDescent="0.2">
      <c r="A3" s="1460"/>
      <c r="B3" s="1460"/>
      <c r="C3" s="1460"/>
      <c r="D3" s="1460"/>
      <c r="E3" s="1467"/>
      <c r="F3" s="1468"/>
      <c r="G3" s="1468"/>
      <c r="H3" s="1468"/>
      <c r="I3" s="1468"/>
      <c r="J3" s="1468"/>
      <c r="K3" s="1468"/>
      <c r="L3" s="1468"/>
      <c r="M3" s="1468"/>
      <c r="N3" s="1468"/>
      <c r="O3" s="1468"/>
      <c r="P3" s="1468"/>
      <c r="Q3" s="1469"/>
    </row>
    <row r="5" spans="1:22" ht="15.75" thickBot="1" x14ac:dyDescent="0.3"/>
    <row r="6" spans="1:22" ht="48" thickBot="1" x14ac:dyDescent="0.3">
      <c r="A6" s="1470" t="s">
        <v>313</v>
      </c>
      <c r="B6" s="1471"/>
      <c r="C6" s="494" t="s">
        <v>314</v>
      </c>
      <c r="D6" s="495" t="s">
        <v>436</v>
      </c>
      <c r="E6" s="604" t="s">
        <v>480</v>
      </c>
      <c r="F6" s="604" t="s">
        <v>527</v>
      </c>
      <c r="G6" s="605" t="s">
        <v>437</v>
      </c>
      <c r="H6" s="605" t="s">
        <v>438</v>
      </c>
      <c r="I6" s="605" t="s">
        <v>438</v>
      </c>
      <c r="J6" s="605" t="s">
        <v>528</v>
      </c>
      <c r="K6" s="605" t="s">
        <v>529</v>
      </c>
      <c r="L6" s="605" t="s">
        <v>478</v>
      </c>
      <c r="M6" s="605" t="s">
        <v>479</v>
      </c>
      <c r="N6" s="606" t="s">
        <v>477</v>
      </c>
      <c r="P6" s="985">
        <v>1</v>
      </c>
      <c r="Q6" s="985">
        <v>-1</v>
      </c>
    </row>
    <row r="7" spans="1:22" ht="30" customHeight="1" x14ac:dyDescent="0.25">
      <c r="A7" s="1472" t="s">
        <v>315</v>
      </c>
      <c r="B7" s="1473"/>
      <c r="C7" s="496" t="s">
        <v>439</v>
      </c>
      <c r="D7" s="614">
        <v>1</v>
      </c>
      <c r="E7" s="616" t="e">
        <f>'RT03-F12 %'!K95</f>
        <v>#N/A</v>
      </c>
      <c r="F7" s="598" t="e">
        <f>' RT03-F15 %'!C103</f>
        <v>#DIV/0!</v>
      </c>
      <c r="G7" s="598" t="e">
        <f>' RT03-F15 %'!D103</f>
        <v>#N/A</v>
      </c>
      <c r="H7" s="497">
        <v>-1</v>
      </c>
      <c r="I7" s="497">
        <v>1</v>
      </c>
      <c r="J7" s="498" t="e">
        <f>_xlfn.NORM.S.DIST(M7,1)</f>
        <v>#DIV/0!</v>
      </c>
      <c r="K7" s="608" t="e">
        <f>1-J7</f>
        <v>#DIV/0!</v>
      </c>
      <c r="L7" s="598" t="e">
        <f>ABS(F7)</f>
        <v>#DIV/0!</v>
      </c>
      <c r="M7" s="613" t="e">
        <f>(I7-L7)/(G7/2)</f>
        <v>#DIV/0!</v>
      </c>
      <c r="N7" s="609" t="e">
        <f>IF(AND(J7&gt;=97.5%,K7&lt;=2.5%),"SI","NO")</f>
        <v>#DIV/0!</v>
      </c>
      <c r="P7" s="985">
        <v>1</v>
      </c>
      <c r="Q7" s="985">
        <v>-1</v>
      </c>
    </row>
    <row r="8" spans="1:22" ht="30" customHeight="1" thickBot="1" x14ac:dyDescent="0.3">
      <c r="A8" s="1474" t="s">
        <v>321</v>
      </c>
      <c r="B8" s="1475"/>
      <c r="C8" s="499" t="s">
        <v>440</v>
      </c>
      <c r="D8" s="615">
        <v>2</v>
      </c>
      <c r="E8" s="617" t="e">
        <f>'RT03-F12 %'!K96</f>
        <v>#N/A</v>
      </c>
      <c r="F8" s="595" t="e">
        <f>' RT03-F15 %'!C104</f>
        <v>#DIV/0!</v>
      </c>
      <c r="G8" s="595" t="e">
        <f>' RT03-F15 %'!D104</f>
        <v>#N/A</v>
      </c>
      <c r="H8" s="500">
        <v>-1</v>
      </c>
      <c r="I8" s="500">
        <v>1</v>
      </c>
      <c r="J8" s="596" t="e">
        <f t="shared" ref="J8:J11" si="0">_xlfn.NORM.S.DIST(M8,1)</f>
        <v>#DIV/0!</v>
      </c>
      <c r="K8" s="607" t="e">
        <f t="shared" ref="K8:K11" si="1">1-J8</f>
        <v>#DIV/0!</v>
      </c>
      <c r="L8" s="595" t="e">
        <f t="shared" ref="L8:L11" si="2">ABS(F8)</f>
        <v>#DIV/0!</v>
      </c>
      <c r="M8" s="597" t="e">
        <f t="shared" ref="M8:M11" si="3">(I8-L8)/(G8/2)</f>
        <v>#DIV/0!</v>
      </c>
      <c r="N8" s="610" t="e">
        <f>IF(AND(J8&gt;=97.5%,K8&lt;=2.5%),"SI","NO")</f>
        <v>#DIV/0!</v>
      </c>
      <c r="P8" s="985">
        <v>1</v>
      </c>
      <c r="Q8" s="985">
        <v>-1</v>
      </c>
    </row>
    <row r="9" spans="1:22" ht="30" customHeight="1" x14ac:dyDescent="0.25">
      <c r="E9" s="617" t="e">
        <f>'RT03-F12 %'!K97</f>
        <v>#N/A</v>
      </c>
      <c r="F9" s="595" t="e">
        <f>' RT03-F15 %'!C105</f>
        <v>#DIV/0!</v>
      </c>
      <c r="G9" s="601" t="e">
        <f>' RT03-F15 %'!D105</f>
        <v>#N/A</v>
      </c>
      <c r="H9" s="500">
        <v>-1</v>
      </c>
      <c r="I9" s="500">
        <v>1</v>
      </c>
      <c r="J9" s="596" t="e">
        <f t="shared" si="0"/>
        <v>#DIV/0!</v>
      </c>
      <c r="K9" s="607" t="e">
        <f t="shared" si="1"/>
        <v>#DIV/0!</v>
      </c>
      <c r="L9" s="595" t="e">
        <f t="shared" si="2"/>
        <v>#DIV/0!</v>
      </c>
      <c r="M9" s="597" t="e">
        <f t="shared" si="3"/>
        <v>#DIV/0!</v>
      </c>
      <c r="N9" s="610" t="e">
        <f>IF(AND(J9&gt;=97.5%,K9&lt;=2.5%),"SI","NO")</f>
        <v>#DIV/0!</v>
      </c>
      <c r="P9" s="985">
        <v>1</v>
      </c>
      <c r="Q9" s="985">
        <v>-1</v>
      </c>
    </row>
    <row r="10" spans="1:22" ht="30" customHeight="1" x14ac:dyDescent="0.25">
      <c r="E10" s="617" t="e">
        <f>'RT03-F12 %'!K98</f>
        <v>#N/A</v>
      </c>
      <c r="F10" s="595" t="e">
        <f>' RT03-F15 %'!C106</f>
        <v>#DIV/0!</v>
      </c>
      <c r="G10" s="601" t="e">
        <f>' RT03-F15 %'!D106</f>
        <v>#N/A</v>
      </c>
      <c r="H10" s="500">
        <v>-2</v>
      </c>
      <c r="I10" s="500">
        <v>2</v>
      </c>
      <c r="J10" s="596" t="e">
        <f t="shared" si="0"/>
        <v>#DIV/0!</v>
      </c>
      <c r="K10" s="607" t="e">
        <f t="shared" si="1"/>
        <v>#DIV/0!</v>
      </c>
      <c r="L10" s="595" t="e">
        <f t="shared" si="2"/>
        <v>#DIV/0!</v>
      </c>
      <c r="M10" s="597" t="e">
        <f t="shared" si="3"/>
        <v>#DIV/0!</v>
      </c>
      <c r="N10" s="610" t="e">
        <f>IF(AND(J10&gt;=97.5%,K10&lt;=2.5%),"SI","NO")</f>
        <v>#DIV/0!</v>
      </c>
      <c r="P10" s="985">
        <v>2</v>
      </c>
      <c r="Q10" s="985">
        <v>-2</v>
      </c>
    </row>
    <row r="11" spans="1:22" ht="30" customHeight="1" thickBot="1" x14ac:dyDescent="0.3">
      <c r="E11" s="618" t="e">
        <f>'RT03-F12 %'!K99</f>
        <v>#N/A</v>
      </c>
      <c r="F11" s="599" t="e">
        <f>' RT03-F15 %'!C107</f>
        <v>#DIV/0!</v>
      </c>
      <c r="G11" s="602" t="e">
        <f>' RT03-F15 %'!D107</f>
        <v>#N/A</v>
      </c>
      <c r="H11" s="501">
        <v>-2</v>
      </c>
      <c r="I11" s="501">
        <v>2</v>
      </c>
      <c r="J11" s="600" t="e">
        <f t="shared" si="0"/>
        <v>#DIV/0!</v>
      </c>
      <c r="K11" s="611" t="e">
        <f t="shared" si="1"/>
        <v>#DIV/0!</v>
      </c>
      <c r="L11" s="599" t="e">
        <f t="shared" si="2"/>
        <v>#DIV/0!</v>
      </c>
      <c r="M11" s="603" t="e">
        <f t="shared" si="3"/>
        <v>#DIV/0!</v>
      </c>
      <c r="N11" s="612" t="e">
        <f>IF(AND(J11&gt;=97.5%,K11&lt;=2.5%),"SI","NO")</f>
        <v>#DIV/0!</v>
      </c>
      <c r="P11" s="985">
        <v>2</v>
      </c>
      <c r="Q11" s="985">
        <v>-2</v>
      </c>
    </row>
  </sheetData>
  <sheetProtection password="CF5C" sheet="1" objects="1" scenarios="1"/>
  <mergeCells count="5">
    <mergeCell ref="A1:D3"/>
    <mergeCell ref="E1:Q3"/>
    <mergeCell ref="A6:B6"/>
    <mergeCell ref="A7:B7"/>
    <mergeCell ref="A8:B8"/>
  </mergeCells>
  <printOptions horizontalCentered="1"/>
  <pageMargins left="0.23622047244094491" right="0.23622047244094491" top="0.74803149606299213" bottom="0.74803149606299213" header="0.31496062992125984" footer="0.31496062992125984"/>
  <pageSetup scale="33" orientation="portrait" r:id="rId1"/>
  <headerFooter>
    <oddHeader xml:space="preserve">&amp;C
HOJA DE CÁLCULO PARA INSTRUMENTOS DE PESAJE DE FUNCIONAMIENTO NO AUTOMÁTICO - IPFNA&amp;R&amp;"-,Negrita"&amp;12
             </oddHeader>
    <oddFooter>&amp;R&amp;8
  RT03-F12  Vr.13 (2021-05-21)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7030A0"/>
  </sheetPr>
  <dimension ref="A1:F42"/>
  <sheetViews>
    <sheetView showGridLines="0" view="pageBreakPreview" zoomScale="70" zoomScaleNormal="66" zoomScaleSheetLayoutView="70" workbookViewId="0">
      <selection activeCell="C1" sqref="C1:F1"/>
    </sheetView>
  </sheetViews>
  <sheetFormatPr baseColWidth="10" defaultColWidth="11.42578125" defaultRowHeight="15" x14ac:dyDescent="0.2"/>
  <cols>
    <col min="1" max="5" width="26.7109375" style="397" customWidth="1"/>
    <col min="6" max="6" width="7.7109375" style="397" customWidth="1"/>
    <col min="7" max="16384" width="11.42578125" style="397"/>
  </cols>
  <sheetData>
    <row r="1" spans="1:6" ht="98.45" customHeight="1" x14ac:dyDescent="0.2">
      <c r="A1" s="1479"/>
      <c r="B1" s="1479"/>
      <c r="C1" s="1480" t="s">
        <v>519</v>
      </c>
      <c r="D1" s="1481"/>
      <c r="E1" s="1481"/>
      <c r="F1" s="1481"/>
    </row>
    <row r="2" spans="1:6" ht="15.75" customHeight="1" x14ac:dyDescent="0.2"/>
    <row r="3" spans="1:6" s="922" customFormat="1" ht="83.45" customHeight="1" thickBot="1" x14ac:dyDescent="0.25">
      <c r="A3" s="1482" t="s">
        <v>512</v>
      </c>
      <c r="B3" s="1483"/>
      <c r="C3" s="1483"/>
      <c r="D3" s="1483"/>
      <c r="E3" s="1483"/>
      <c r="F3" s="1483"/>
    </row>
    <row r="4" spans="1:6" s="399" customFormat="1" ht="46.5" customHeight="1" thickBot="1" x14ac:dyDescent="0.25">
      <c r="A4" s="470"/>
      <c r="B4" s="462" t="s">
        <v>399</v>
      </c>
      <c r="C4" s="462" t="s">
        <v>400</v>
      </c>
      <c r="D4" s="398"/>
      <c r="E4" s="398"/>
    </row>
    <row r="5" spans="1:6" s="400" customFormat="1" ht="38.450000000000003" customHeight="1" thickBot="1" x14ac:dyDescent="0.3">
      <c r="A5" s="942" t="s">
        <v>524</v>
      </c>
      <c r="B5" s="831">
        <f>'RT03-F12 %'!C32</f>
        <v>0</v>
      </c>
      <c r="C5" s="831">
        <f>'RT03-F12 %'!C62</f>
        <v>0</v>
      </c>
      <c r="D5" s="463" t="s">
        <v>419</v>
      </c>
      <c r="E5" s="832">
        <f>'RT03-F12 %'!K28</f>
        <v>0</v>
      </c>
    </row>
    <row r="6" spans="1:6" s="400" customFormat="1" ht="38.450000000000003" customHeight="1" thickBot="1" x14ac:dyDescent="0.3">
      <c r="A6" s="464" t="s">
        <v>396</v>
      </c>
      <c r="B6" s="585" t="s">
        <v>98</v>
      </c>
      <c r="C6" s="585" t="s">
        <v>210</v>
      </c>
      <c r="D6" s="585" t="s">
        <v>376</v>
      </c>
      <c r="E6" s="586" t="s">
        <v>211</v>
      </c>
    </row>
    <row r="7" spans="1:6" s="400" customFormat="1" ht="48" customHeight="1" x14ac:dyDescent="0.25">
      <c r="A7" s="1476" t="e">
        <f>'RT03-F12 %'!F6</f>
        <v>#N/A</v>
      </c>
      <c r="B7" s="465" t="s">
        <v>397</v>
      </c>
      <c r="C7" s="467"/>
      <c r="D7" s="468"/>
      <c r="E7" s="469"/>
    </row>
    <row r="8" spans="1:6" s="400" customFormat="1" ht="48" customHeight="1" x14ac:dyDescent="0.25">
      <c r="A8" s="1477"/>
      <c r="B8" s="594" t="s">
        <v>398</v>
      </c>
      <c r="C8" s="591"/>
      <c r="D8" s="587"/>
      <c r="E8" s="589"/>
    </row>
    <row r="9" spans="1:6" s="400" customFormat="1" ht="48" customHeight="1" x14ac:dyDescent="0.25">
      <c r="A9" s="1477"/>
      <c r="B9" s="594" t="s">
        <v>420</v>
      </c>
      <c r="C9" s="592" t="e">
        <f>C7+(VLOOKUP('RT03-F12 %'!K28,'DATOS % '!G154:T167,9,FALSE))*C7+(VLOOKUP('RT03-F12 %'!K28,'DATOS % '!G154:T167,10,FALSE))</f>
        <v>#N/A</v>
      </c>
      <c r="D9" s="588" t="e">
        <f>D7+(VLOOKUP('RT03-F12 %'!K28,'DATOS % '!G154:T167,11,FALSE))*D7+(VLOOKUP('RT03-F12 %'!K28,'DATOS % '!G154:T167,12,FALSE))</f>
        <v>#N/A</v>
      </c>
      <c r="E9" s="590" t="e">
        <f>E7+(VLOOKUP('RT03-F12 %'!K28,'DATOS % '!G154:T167,13,FALSE))*E7+(VLOOKUP('RT03-F12 %'!K28,'DATOS % '!G154:T167,14,FALSE))</f>
        <v>#N/A</v>
      </c>
    </row>
    <row r="10" spans="1:6" s="400" customFormat="1" ht="48" customHeight="1" thickBot="1" x14ac:dyDescent="0.3">
      <c r="A10" s="1478"/>
      <c r="B10" s="466" t="s">
        <v>421</v>
      </c>
      <c r="C10" s="593" t="e">
        <f>C8+(VLOOKUP('RT03-F12 %'!K28,'DATOS % '!G154:T167,9,FALSE))*C8+(VLOOKUP('RT03-F12 %'!K28,'DATOS % '!G154:T167,10,FALSE))</f>
        <v>#N/A</v>
      </c>
      <c r="D10" s="403" t="e">
        <f>D8+(VLOOKUP('RT03-F12 %'!K28,'DATOS % '!G154:T167,11,FALSE))*D8+(VLOOKUP('RT03-F12 %'!K28,'DATOS % '!G154:T167,12,FALSE))</f>
        <v>#N/A</v>
      </c>
      <c r="E10" s="404" t="e">
        <f>E8+(VLOOKUP('RT03-F12 %'!K28,'DATOS % '!G154:T167,13,FALSE))*E8+(VLOOKUP('RT03-F12 %'!K28,'DATOS % '!G154:T167,14,FALSE))</f>
        <v>#N/A</v>
      </c>
    </row>
    <row r="11" spans="1:6" s="400" customFormat="1" ht="35.450000000000003" customHeight="1" x14ac:dyDescent="0.25">
      <c r="B11" s="401"/>
      <c r="C11" s="402"/>
      <c r="D11" s="402"/>
      <c r="E11" s="402"/>
    </row>
    <row r="12" spans="1:6" s="400" customFormat="1" ht="35.450000000000003" customHeight="1" x14ac:dyDescent="0.25">
      <c r="B12" s="401"/>
      <c r="C12" s="402"/>
      <c r="D12" s="402"/>
      <c r="E12" s="402"/>
    </row>
    <row r="13" spans="1:6" s="400" customFormat="1" ht="35.450000000000003" customHeight="1" x14ac:dyDescent="0.25"/>
    <row r="14" spans="1:6" s="400" customFormat="1" ht="35.450000000000003" customHeight="1" x14ac:dyDescent="0.25"/>
    <row r="15" spans="1:6" s="400" customFormat="1" ht="35.450000000000003" customHeight="1" x14ac:dyDescent="0.25"/>
    <row r="16" spans="1:6" s="400" customFormat="1" ht="35.450000000000003" customHeight="1" x14ac:dyDescent="0.25"/>
    <row r="17" s="400" customFormat="1" ht="35.450000000000003" customHeight="1" x14ac:dyDescent="0.25"/>
    <row r="18" s="400" customFormat="1" ht="35.450000000000003" customHeight="1" x14ac:dyDescent="0.25"/>
    <row r="19" s="400" customFormat="1" ht="35.450000000000003" customHeight="1" x14ac:dyDescent="0.25"/>
    <row r="20" s="400" customFormat="1" ht="35.450000000000003" customHeight="1" x14ac:dyDescent="0.25"/>
    <row r="21" s="400" customFormat="1" ht="35.450000000000003" customHeight="1" x14ac:dyDescent="0.25"/>
    <row r="22" s="400" customFormat="1" x14ac:dyDescent="0.25"/>
    <row r="23" s="400" customFormat="1" x14ac:dyDescent="0.25"/>
    <row r="24" s="400" customFormat="1" x14ac:dyDescent="0.25"/>
    <row r="25" s="400" customFormat="1" x14ac:dyDescent="0.25"/>
    <row r="26" s="400" customFormat="1" x14ac:dyDescent="0.25"/>
    <row r="27" s="400" customFormat="1" x14ac:dyDescent="0.25"/>
    <row r="28" s="400" customFormat="1" x14ac:dyDescent="0.25"/>
    <row r="29" s="400" customFormat="1" x14ac:dyDescent="0.25"/>
    <row r="30" s="400" customFormat="1" x14ac:dyDescent="0.25"/>
    <row r="31" s="400" customFormat="1" x14ac:dyDescent="0.25"/>
    <row r="32" s="400" customFormat="1" x14ac:dyDescent="0.25"/>
    <row r="33" s="400" customFormat="1" x14ac:dyDescent="0.25"/>
    <row r="34" s="400" customFormat="1" x14ac:dyDescent="0.25"/>
    <row r="35" s="400" customFormat="1" x14ac:dyDescent="0.25"/>
    <row r="36" s="400" customFormat="1" x14ac:dyDescent="0.25"/>
    <row r="37" s="400" customFormat="1" x14ac:dyDescent="0.25"/>
    <row r="38" s="400" customFormat="1" x14ac:dyDescent="0.25"/>
    <row r="39" s="400" customFormat="1" x14ac:dyDescent="0.25"/>
    <row r="40" s="400" customFormat="1" x14ac:dyDescent="0.25"/>
    <row r="41" s="400" customFormat="1" x14ac:dyDescent="0.25"/>
    <row r="42" s="400" customFormat="1" x14ac:dyDescent="0.25"/>
  </sheetData>
  <sheetProtection password="CF5C" sheet="1" objects="1" scenarios="1"/>
  <mergeCells count="4">
    <mergeCell ref="A7:A10"/>
    <mergeCell ref="A1:B1"/>
    <mergeCell ref="C1:F1"/>
    <mergeCell ref="A3:F3"/>
  </mergeCells>
  <printOptions horizontalCentered="1"/>
  <pageMargins left="0.23622047244094491" right="0.23622047244094491" top="0.74803149606299213" bottom="0.74803149606299213" header="0.31496062992125984" footer="0.31496062992125984"/>
  <pageSetup scale="33" orientation="portrait" r:id="rId1"/>
  <headerFooter>
    <oddHeader xml:space="preserve">&amp;C
HOJA DE CÁLCULO PARA INSTRUMENTOS DE PESAJE DE FUNCIONAMIENTO NO AUTOMÁTICO - IPFNA&amp;R&amp;"-,Negrita"&amp;12
             </oddHeader>
    <oddFooter>&amp;R&amp;8
  RT03-F12  Vr.13 (2021-05-21)
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rgb="FF7030A0"/>
  </sheetPr>
  <dimension ref="A1:R174"/>
  <sheetViews>
    <sheetView showGridLines="0" tabSelected="1" showRuler="0" showWhiteSpace="0" view="pageBreakPreview" zoomScale="66" zoomScaleNormal="66" zoomScaleSheetLayoutView="66" zoomScalePageLayoutView="85" workbookViewId="0">
      <selection sqref="A1:G1"/>
    </sheetView>
  </sheetViews>
  <sheetFormatPr baseColWidth="10" defaultColWidth="11.42578125" defaultRowHeight="15" customHeight="1" x14ac:dyDescent="0.2"/>
  <cols>
    <col min="1" max="1" width="3.85546875" style="54" customWidth="1"/>
    <col min="2" max="2" width="21.140625" style="54" customWidth="1"/>
    <col min="3" max="3" width="21" style="54" customWidth="1"/>
    <col min="4" max="6" width="17.7109375" style="54" customWidth="1"/>
    <col min="7" max="7" width="21.28515625" style="54" customWidth="1"/>
    <col min="8" max="14" width="11.42578125" style="54"/>
    <col min="15" max="15" width="7.140625" style="54" customWidth="1"/>
    <col min="16" max="18" width="11.42578125" style="54" hidden="1" customWidth="1"/>
    <col min="19" max="16384" width="11.42578125" style="54"/>
  </cols>
  <sheetData>
    <row r="1" spans="1:7" ht="125.1" customHeight="1" x14ac:dyDescent="0.2">
      <c r="A1" s="1510"/>
      <c r="B1" s="1510"/>
      <c r="C1" s="1510"/>
      <c r="D1" s="1510"/>
      <c r="E1" s="1510"/>
      <c r="F1" s="1510"/>
      <c r="G1" s="1510"/>
    </row>
    <row r="2" spans="1:7" ht="35.1" customHeight="1" x14ac:dyDescent="0.2">
      <c r="A2" s="621"/>
      <c r="B2" s="621"/>
      <c r="C2" s="621"/>
    </row>
    <row r="3" spans="1:7" ht="35.1" customHeight="1" x14ac:dyDescent="0.2">
      <c r="A3" s="621"/>
      <c r="B3" s="621"/>
      <c r="C3" s="621"/>
      <c r="E3" s="1507" t="s">
        <v>247</v>
      </c>
      <c r="F3" s="1507"/>
      <c r="G3" s="622" t="e">
        <f>'RT03-F12 %'!I6</f>
        <v>#N/A</v>
      </c>
    </row>
    <row r="4" spans="1:7" ht="20.100000000000001" customHeight="1" x14ac:dyDescent="0.2">
      <c r="A4" s="1506" t="s">
        <v>62</v>
      </c>
      <c r="B4" s="1506"/>
      <c r="C4" s="1506"/>
      <c r="D4" s="1506"/>
    </row>
    <row r="5" spans="1:7" ht="15.75" customHeight="1" x14ac:dyDescent="0.2">
      <c r="A5" s="623"/>
      <c r="B5" s="623"/>
      <c r="C5" s="624"/>
      <c r="D5" s="624"/>
      <c r="E5" s="624"/>
      <c r="F5" s="624"/>
      <c r="G5" s="624"/>
    </row>
    <row r="6" spans="1:7" ht="23.1" customHeight="1" x14ac:dyDescent="0.2">
      <c r="A6" s="1539" t="s">
        <v>237</v>
      </c>
      <c r="B6" s="1539"/>
      <c r="C6" s="1539"/>
      <c r="D6" s="1537" t="e">
        <f>'RT03-F12 %'!G6</f>
        <v>#N/A</v>
      </c>
      <c r="E6" s="1538"/>
      <c r="F6" s="1538"/>
      <c r="G6" s="1538"/>
    </row>
    <row r="7" spans="1:7" ht="23.1" customHeight="1" x14ac:dyDescent="0.2">
      <c r="A7" s="1539" t="s">
        <v>63</v>
      </c>
      <c r="B7" s="1539"/>
      <c r="C7" s="1539"/>
      <c r="D7" s="1551" t="e">
        <f>'RT03-F12 %'!H6</f>
        <v>#N/A</v>
      </c>
      <c r="E7" s="1551"/>
      <c r="F7" s="1551"/>
      <c r="G7" s="1551"/>
    </row>
    <row r="8" spans="1:7" ht="23.1" customHeight="1" x14ac:dyDescent="0.2">
      <c r="A8" s="1539" t="s">
        <v>64</v>
      </c>
      <c r="B8" s="1539"/>
      <c r="C8" s="1539"/>
      <c r="D8" s="1537" t="e">
        <f>'RT03-F12 %'!B6</f>
        <v>#N/A</v>
      </c>
      <c r="E8" s="1538"/>
      <c r="F8" s="858"/>
      <c r="G8" s="858"/>
    </row>
    <row r="9" spans="1:7" ht="18" customHeight="1" x14ac:dyDescent="0.2">
      <c r="A9" s="856"/>
      <c r="B9" s="856"/>
      <c r="C9" s="856"/>
      <c r="D9" s="855"/>
      <c r="E9" s="856"/>
      <c r="F9" s="883"/>
      <c r="G9" s="883"/>
    </row>
    <row r="10" spans="1:7" ht="23.1" customHeight="1" x14ac:dyDescent="0.2">
      <c r="A10" s="1539" t="s">
        <v>65</v>
      </c>
      <c r="B10" s="1539"/>
      <c r="C10" s="1539"/>
      <c r="D10" s="626" t="e">
        <f>'RT03-F12 %'!C6</f>
        <v>#N/A</v>
      </c>
      <c r="E10" s="1547" t="s">
        <v>67</v>
      </c>
      <c r="F10" s="1547"/>
      <c r="G10" s="626" t="e">
        <f>'RT03-F12 %'!F6</f>
        <v>#N/A</v>
      </c>
    </row>
    <row r="11" spans="1:7" ht="15" customHeight="1" x14ac:dyDescent="0.2">
      <c r="A11" s="856"/>
      <c r="B11" s="856"/>
      <c r="C11" s="856"/>
      <c r="D11" s="626"/>
      <c r="E11" s="862"/>
      <c r="F11" s="862"/>
      <c r="G11" s="626"/>
    </row>
    <row r="12" spans="1:7" ht="23.1" customHeight="1" x14ac:dyDescent="0.2">
      <c r="A12" s="1506" t="s">
        <v>268</v>
      </c>
      <c r="B12" s="1506"/>
      <c r="C12" s="1506"/>
      <c r="D12" s="1506"/>
      <c r="E12" s="1506"/>
      <c r="F12" s="1506"/>
      <c r="G12" s="1506"/>
    </row>
    <row r="13" spans="1:7" ht="12" customHeight="1" x14ac:dyDescent="0.2">
      <c r="A13" s="856"/>
      <c r="B13" s="856"/>
      <c r="C13" s="856"/>
      <c r="D13" s="856"/>
      <c r="E13" s="856"/>
      <c r="F13" s="883"/>
      <c r="G13" s="883"/>
    </row>
    <row r="14" spans="1:7" ht="23.1" customHeight="1" x14ac:dyDescent="0.2">
      <c r="A14" s="1539" t="s">
        <v>286</v>
      </c>
      <c r="B14" s="1539"/>
      <c r="C14" s="1539"/>
      <c r="D14" s="1555" t="s">
        <v>540</v>
      </c>
      <c r="E14" s="1555"/>
      <c r="F14" s="1555"/>
      <c r="G14" s="1555"/>
    </row>
    <row r="15" spans="1:7" ht="23.1" customHeight="1" x14ac:dyDescent="0.2">
      <c r="A15" s="1539" t="s">
        <v>287</v>
      </c>
      <c r="B15" s="1539"/>
      <c r="C15" s="1539"/>
      <c r="D15" s="1548" t="e">
        <f>'RT03-F12 %'!D9</f>
        <v>#N/A</v>
      </c>
      <c r="E15" s="1539"/>
      <c r="F15" s="883"/>
      <c r="G15" s="883"/>
    </row>
    <row r="16" spans="1:7" ht="23.1" customHeight="1" x14ac:dyDescent="0.2">
      <c r="A16" s="1539" t="s">
        <v>387</v>
      </c>
      <c r="B16" s="1539"/>
      <c r="C16" s="1539"/>
      <c r="D16" s="1539" t="e">
        <f>'RT03-F12 %'!D11</f>
        <v>#N/A</v>
      </c>
      <c r="E16" s="1539"/>
      <c r="F16" s="1539"/>
      <c r="G16" s="1539"/>
    </row>
    <row r="17" spans="1:7" ht="23.1" customHeight="1" x14ac:dyDescent="0.2">
      <c r="A17" s="1539" t="s">
        <v>288</v>
      </c>
      <c r="B17" s="1539"/>
      <c r="C17" s="1539"/>
      <c r="D17" s="1548" t="e">
        <f>'RT03-F12 %'!D10</f>
        <v>#N/A</v>
      </c>
      <c r="E17" s="1539"/>
      <c r="F17" s="883"/>
      <c r="G17" s="883"/>
    </row>
    <row r="18" spans="1:7" ht="23.1" customHeight="1" x14ac:dyDescent="0.2">
      <c r="A18" s="1539" t="s">
        <v>289</v>
      </c>
      <c r="B18" s="1539"/>
      <c r="C18" s="1539"/>
      <c r="D18" s="627" t="e">
        <f>'RT03-F12 %'!D12</f>
        <v>#N/A</v>
      </c>
      <c r="E18" s="856"/>
      <c r="F18" s="628"/>
      <c r="G18" s="856"/>
    </row>
    <row r="19" spans="1:7" ht="23.1" customHeight="1" x14ac:dyDescent="0.2">
      <c r="A19" s="1549" t="s">
        <v>290</v>
      </c>
      <c r="B19" s="1549"/>
      <c r="C19" s="1549"/>
      <c r="D19" s="629" t="e">
        <f>'RT03-F12 %'!D13</f>
        <v>#N/A</v>
      </c>
      <c r="E19" s="854"/>
      <c r="F19" s="854"/>
      <c r="G19" s="854"/>
    </row>
    <row r="20" spans="1:7" ht="23.1" customHeight="1" x14ac:dyDescent="0.2">
      <c r="A20" s="1549" t="s">
        <v>291</v>
      </c>
      <c r="B20" s="1549"/>
      <c r="C20" s="1549"/>
      <c r="D20" s="630" t="e">
        <f>'RT03-F12 %'!D14</f>
        <v>#N/A</v>
      </c>
      <c r="E20" s="854"/>
      <c r="F20" s="854"/>
      <c r="G20" s="854"/>
    </row>
    <row r="21" spans="1:7" ht="23.1" customHeight="1" x14ac:dyDescent="0.2">
      <c r="A21" s="1549" t="s">
        <v>292</v>
      </c>
      <c r="B21" s="1549"/>
      <c r="C21" s="1549"/>
      <c r="D21" s="629" t="e">
        <f>'RT03-F12 %'!D15</f>
        <v>#N/A</v>
      </c>
      <c r="E21" s="854"/>
      <c r="F21" s="854"/>
      <c r="G21" s="854"/>
    </row>
    <row r="22" spans="1:7" ht="23.1" customHeight="1" x14ac:dyDescent="0.2"/>
    <row r="23" spans="1:7" ht="23.1" customHeight="1" x14ac:dyDescent="0.2">
      <c r="A23" s="1506" t="s">
        <v>269</v>
      </c>
      <c r="B23" s="1506"/>
      <c r="C23" s="1506"/>
      <c r="D23" s="1506"/>
      <c r="E23" s="1506"/>
      <c r="F23" s="1506"/>
      <c r="G23" s="1506"/>
    </row>
    <row r="24" spans="1:7" ht="23.1" customHeight="1" x14ac:dyDescent="0.2">
      <c r="A24" s="1511" t="e">
        <f>'RT03-F12 %'!E6</f>
        <v>#N/A</v>
      </c>
      <c r="B24" s="1511"/>
      <c r="C24" s="1511"/>
      <c r="D24" s="1511"/>
      <c r="E24" s="1511"/>
      <c r="F24" s="1511"/>
      <c r="G24" s="1511"/>
    </row>
    <row r="25" spans="1:7" ht="23.1" customHeight="1" x14ac:dyDescent="0.2">
      <c r="A25" s="631"/>
      <c r="B25" s="631"/>
      <c r="C25" s="624"/>
      <c r="D25" s="631"/>
      <c r="E25" s="624"/>
      <c r="F25" s="632"/>
      <c r="G25" s="632"/>
    </row>
    <row r="26" spans="1:7" ht="23.1" customHeight="1" x14ac:dyDescent="0.2">
      <c r="A26" s="1506" t="s">
        <v>270</v>
      </c>
      <c r="B26" s="1506"/>
      <c r="C26" s="1506"/>
      <c r="D26" s="1554" t="e">
        <f>'RT03-F12 %'!D6</f>
        <v>#N/A</v>
      </c>
      <c r="E26" s="1554"/>
      <c r="F26" s="1554"/>
      <c r="G26" s="632"/>
    </row>
    <row r="27" spans="1:7" ht="23.1" customHeight="1" x14ac:dyDescent="0.2">
      <c r="E27" s="633"/>
      <c r="F27" s="624"/>
      <c r="G27" s="624"/>
    </row>
    <row r="28" spans="1:7" ht="23.1" customHeight="1" x14ac:dyDescent="0.2">
      <c r="A28" s="1515" t="s">
        <v>271</v>
      </c>
      <c r="B28" s="1515"/>
      <c r="C28" s="1515"/>
      <c r="D28" s="1515"/>
      <c r="E28" s="1515"/>
      <c r="F28" s="1515"/>
      <c r="G28" s="1515"/>
    </row>
    <row r="29" spans="1:7" ht="15" customHeight="1" x14ac:dyDescent="0.2">
      <c r="A29" s="632"/>
      <c r="B29" s="632"/>
      <c r="C29" s="632"/>
      <c r="D29" s="632"/>
      <c r="E29" s="633"/>
      <c r="F29" s="624"/>
      <c r="G29" s="624"/>
    </row>
    <row r="30" spans="1:7" ht="33" customHeight="1" x14ac:dyDescent="0.2">
      <c r="A30" s="1550" t="s">
        <v>293</v>
      </c>
      <c r="B30" s="1550"/>
      <c r="C30" s="1550"/>
      <c r="D30" s="1550"/>
      <c r="E30" s="1550"/>
      <c r="F30" s="1550"/>
      <c r="G30" s="1550"/>
    </row>
    <row r="31" spans="1:7" ht="25.5" customHeight="1" x14ac:dyDescent="0.2">
      <c r="A31" s="635"/>
      <c r="B31" s="635"/>
      <c r="C31" s="635"/>
      <c r="D31" s="635"/>
      <c r="E31" s="635"/>
      <c r="F31" s="635"/>
      <c r="G31" s="635"/>
    </row>
    <row r="32" spans="1:7" ht="23.1" customHeight="1" x14ac:dyDescent="0.2">
      <c r="A32" s="1506" t="s">
        <v>351</v>
      </c>
      <c r="B32" s="1506"/>
      <c r="C32" s="1506"/>
      <c r="D32" s="1506"/>
      <c r="E32" s="1506"/>
      <c r="F32" s="1506"/>
      <c r="G32" s="1506"/>
    </row>
    <row r="33" spans="1:7" ht="17.25" customHeight="1" thickBot="1" x14ac:dyDescent="0.25">
      <c r="A33" s="928"/>
      <c r="B33" s="928"/>
      <c r="C33" s="928"/>
      <c r="D33" s="928"/>
      <c r="E33" s="928"/>
      <c r="F33" s="928"/>
      <c r="G33" s="928"/>
    </row>
    <row r="34" spans="1:7" ht="36.950000000000003" customHeight="1" thickBot="1" x14ac:dyDescent="0.25">
      <c r="A34" s="857"/>
      <c r="B34" s="1552" t="s">
        <v>486</v>
      </c>
      <c r="C34" s="1553"/>
      <c r="D34" s="1552" t="s">
        <v>538</v>
      </c>
      <c r="E34" s="1553"/>
      <c r="F34" s="1552" t="s">
        <v>539</v>
      </c>
      <c r="G34" s="1553"/>
    </row>
    <row r="35" spans="1:7" ht="33" customHeight="1" thickBot="1" x14ac:dyDescent="0.25">
      <c r="A35" s="810"/>
      <c r="B35" s="1007" t="s">
        <v>516</v>
      </c>
      <c r="C35" s="1007" t="s">
        <v>517</v>
      </c>
      <c r="D35" s="1007" t="s">
        <v>516</v>
      </c>
      <c r="E35" s="1008" t="s">
        <v>517</v>
      </c>
      <c r="F35" s="1007" t="s">
        <v>516</v>
      </c>
      <c r="G35" s="1009" t="s">
        <v>517</v>
      </c>
    </row>
    <row r="36" spans="1:7" ht="33" customHeight="1" thickBot="1" x14ac:dyDescent="0.25">
      <c r="A36" s="884"/>
      <c r="B36" s="1010" t="e">
        <f>'Max y MIN %'!C10</f>
        <v>#N/A</v>
      </c>
      <c r="C36" s="1010" t="e">
        <f>'Max y MIN %'!C9</f>
        <v>#N/A</v>
      </c>
      <c r="D36" s="1010" t="e">
        <f>'Max y MIN %'!D10</f>
        <v>#N/A</v>
      </c>
      <c r="E36" s="1011" t="e">
        <f>'Max y MIN %'!D9</f>
        <v>#N/A</v>
      </c>
      <c r="F36" s="1010" t="e">
        <f>'Max y MIN %'!E10</f>
        <v>#N/A</v>
      </c>
      <c r="G36" s="1012" t="e">
        <f>'Max y MIN %'!E9</f>
        <v>#N/A</v>
      </c>
    </row>
    <row r="37" spans="1:7" ht="33" customHeight="1" x14ac:dyDescent="0.2">
      <c r="A37" s="1516" t="s">
        <v>511</v>
      </c>
      <c r="B37" s="1516"/>
      <c r="C37" s="1516"/>
      <c r="D37" s="1516"/>
      <c r="E37" s="1516"/>
      <c r="F37" s="1516"/>
      <c r="G37" s="1516"/>
    </row>
    <row r="38" spans="1:7" ht="27.75" customHeight="1" x14ac:dyDescent="0.2"/>
    <row r="39" spans="1:7" ht="125.1" customHeight="1" x14ac:dyDescent="0.2"/>
    <row r="40" spans="1:7" ht="35.1" customHeight="1" x14ac:dyDescent="0.2">
      <c r="A40" s="850"/>
      <c r="B40" s="850"/>
      <c r="C40" s="850"/>
      <c r="D40" s="850"/>
    </row>
    <row r="41" spans="1:7" ht="35.1" customHeight="1" x14ac:dyDescent="0.2">
      <c r="A41" s="850"/>
      <c r="B41" s="850"/>
      <c r="C41" s="850"/>
      <c r="D41" s="850"/>
      <c r="E41" s="1507" t="s">
        <v>247</v>
      </c>
      <c r="F41" s="1507"/>
      <c r="G41" s="622" t="e">
        <f>G3</f>
        <v>#N/A</v>
      </c>
    </row>
    <row r="42" spans="1:7" ht="23.1" customHeight="1" x14ac:dyDescent="0.2">
      <c r="A42" s="1540" t="s">
        <v>281</v>
      </c>
      <c r="B42" s="1540"/>
      <c r="C42" s="1540"/>
      <c r="D42" s="1540"/>
      <c r="E42" s="1540"/>
      <c r="F42" s="1540"/>
      <c r="G42" s="1540"/>
    </row>
    <row r="43" spans="1:7" ht="12" customHeight="1" x14ac:dyDescent="0.2">
      <c r="A43" s="860"/>
      <c r="B43" s="860"/>
      <c r="C43" s="860"/>
      <c r="D43" s="860"/>
      <c r="E43" s="860"/>
      <c r="F43" s="860"/>
      <c r="G43" s="860"/>
    </row>
    <row r="44" spans="1:7" ht="48" customHeight="1" x14ac:dyDescent="0.2">
      <c r="A44" s="1487" t="s">
        <v>272</v>
      </c>
      <c r="B44" s="1487"/>
      <c r="C44" s="1487"/>
      <c r="D44" s="1487"/>
      <c r="E44" s="1487"/>
      <c r="F44" s="1487"/>
      <c r="G44" s="1487"/>
    </row>
    <row r="45" spans="1:7" ht="12" customHeight="1" thickBot="1" x14ac:dyDescent="0.25">
      <c r="A45" s="639"/>
      <c r="B45" s="639"/>
      <c r="C45" s="639"/>
      <c r="D45" s="639"/>
      <c r="E45" s="639"/>
      <c r="F45" s="639"/>
      <c r="G45" s="639"/>
    </row>
    <row r="46" spans="1:7" ht="30" customHeight="1" thickBot="1" x14ac:dyDescent="0.25">
      <c r="A46" s="1517" t="s">
        <v>283</v>
      </c>
      <c r="B46" s="1518"/>
      <c r="C46" s="1519"/>
      <c r="D46" s="1523" t="e">
        <f>'RT03-F12 %'!I11</f>
        <v>#N/A</v>
      </c>
      <c r="E46" s="1524"/>
      <c r="F46" s="850"/>
      <c r="G46" s="850"/>
    </row>
    <row r="47" spans="1:7" ht="30" customHeight="1" thickBot="1" x14ac:dyDescent="0.25">
      <c r="A47" s="1517" t="s">
        <v>282</v>
      </c>
      <c r="B47" s="1518"/>
      <c r="C47" s="1519"/>
      <c r="D47" s="1525" t="s">
        <v>402</v>
      </c>
      <c r="E47" s="1526"/>
      <c r="F47" s="624"/>
      <c r="G47" s="624"/>
    </row>
    <row r="48" spans="1:7" ht="30" customHeight="1" thickBot="1" x14ac:dyDescent="0.25">
      <c r="A48" s="1517" t="s">
        <v>285</v>
      </c>
      <c r="B48" s="1518"/>
      <c r="C48" s="1519"/>
      <c r="D48" s="1527" t="e">
        <f>'RT03-F12 %'!I12</f>
        <v>#N/A</v>
      </c>
      <c r="E48" s="1528"/>
      <c r="F48" s="624"/>
      <c r="G48" s="624"/>
    </row>
    <row r="49" spans="1:7" ht="30" customHeight="1" thickBot="1" x14ac:dyDescent="0.25">
      <c r="A49" s="1520" t="s">
        <v>177</v>
      </c>
      <c r="B49" s="1521"/>
      <c r="C49" s="1522"/>
      <c r="D49" s="1529" t="e">
        <f>'RT03-F12 %'!I13</f>
        <v>#N/A</v>
      </c>
      <c r="E49" s="1530"/>
      <c r="F49" s="624"/>
      <c r="G49" s="624"/>
    </row>
    <row r="50" spans="1:7" ht="30" customHeight="1" thickBot="1" x14ac:dyDescent="0.25">
      <c r="A50" s="640" t="s">
        <v>232</v>
      </c>
      <c r="B50" s="640"/>
      <c r="C50" s="641"/>
      <c r="D50" s="1529" t="e">
        <f>'RT03-F12 %'!I15</f>
        <v>#N/A</v>
      </c>
      <c r="E50" s="1530"/>
      <c r="F50" s="624"/>
      <c r="G50" s="624"/>
    </row>
    <row r="51" spans="1:7" ht="30" customHeight="1" thickBot="1" x14ac:dyDescent="0.25">
      <c r="A51" s="1517" t="s">
        <v>284</v>
      </c>
      <c r="B51" s="1518"/>
      <c r="C51" s="1519"/>
      <c r="D51" s="1541"/>
      <c r="E51" s="1542"/>
      <c r="F51" s="624"/>
      <c r="G51" s="624"/>
    </row>
    <row r="52" spans="1:7" ht="30" customHeight="1" x14ac:dyDescent="0.2">
      <c r="A52" s="857"/>
      <c r="B52" s="857"/>
      <c r="C52" s="857"/>
      <c r="D52" s="856"/>
      <c r="E52" s="856"/>
      <c r="F52" s="624"/>
      <c r="G52" s="624"/>
    </row>
    <row r="53" spans="1:7" ht="23.1" customHeight="1" x14ac:dyDescent="0.2">
      <c r="A53" s="1540" t="s">
        <v>273</v>
      </c>
      <c r="B53" s="1540"/>
      <c r="C53" s="1540"/>
      <c r="D53" s="1540"/>
      <c r="E53" s="1540"/>
      <c r="F53" s="1540"/>
      <c r="G53" s="1540"/>
    </row>
    <row r="54" spans="1:7" ht="12" customHeight="1" x14ac:dyDescent="0.2">
      <c r="A54" s="850"/>
      <c r="B54" s="850"/>
      <c r="C54" s="850"/>
      <c r="D54" s="850"/>
      <c r="E54" s="850"/>
      <c r="F54" s="850"/>
      <c r="G54" s="850"/>
    </row>
    <row r="55" spans="1:7" ht="20.100000000000001" customHeight="1" x14ac:dyDescent="0.2">
      <c r="A55" s="1508" t="s">
        <v>69</v>
      </c>
      <c r="B55" s="1508"/>
      <c r="C55" s="1508"/>
      <c r="D55" s="1508"/>
      <c r="E55" s="850"/>
      <c r="F55" s="642"/>
      <c r="G55" s="850"/>
    </row>
    <row r="56" spans="1:7" ht="12" customHeight="1" thickBot="1" x14ac:dyDescent="0.25">
      <c r="A56" s="850"/>
      <c r="B56" s="850"/>
      <c r="C56" s="850"/>
      <c r="D56" s="850"/>
      <c r="E56" s="624"/>
      <c r="F56" s="624"/>
      <c r="G56" s="624"/>
    </row>
    <row r="57" spans="1:7" ht="30" customHeight="1" thickBot="1" x14ac:dyDescent="0.25">
      <c r="A57" s="1531" t="s">
        <v>243</v>
      </c>
      <c r="B57" s="1532"/>
      <c r="C57" s="1533"/>
      <c r="D57" s="1534"/>
      <c r="E57" s="850"/>
      <c r="F57" s="850"/>
      <c r="G57" s="850"/>
    </row>
    <row r="58" spans="1:7" ht="30" customHeight="1" thickBot="1" x14ac:dyDescent="0.25">
      <c r="A58" s="1543" t="str">
        <f>'RT03-F12 %'!C34</f>
        <v>Carga</v>
      </c>
      <c r="B58" s="1544"/>
      <c r="C58" s="885">
        <f>'RT03-F12 %'!E34</f>
        <v>0</v>
      </c>
      <c r="D58" s="861" t="str">
        <f>'RT03-F12 %'!D34</f>
        <v>(g)</v>
      </c>
      <c r="E58" s="850"/>
      <c r="F58" s="644" t="s">
        <v>68</v>
      </c>
      <c r="G58" s="850"/>
    </row>
    <row r="59" spans="1:7" ht="30" customHeight="1" thickBot="1" x14ac:dyDescent="0.25">
      <c r="A59" s="1543" t="str">
        <f>'RT03-F12 %'!B35</f>
        <v>Posición</v>
      </c>
      <c r="B59" s="1544"/>
      <c r="C59" s="645" t="str">
        <f>'RT03-F12 %'!B36</f>
        <v>Indicación (g)</v>
      </c>
      <c r="D59" s="646" t="s">
        <v>95</v>
      </c>
      <c r="E59" s="850"/>
      <c r="F59" s="850"/>
      <c r="G59" s="850"/>
    </row>
    <row r="60" spans="1:7" ht="30" customHeight="1" x14ac:dyDescent="0.2">
      <c r="A60" s="1545">
        <f>'RT03-F12 %'!C35</f>
        <v>1</v>
      </c>
      <c r="B60" s="1546"/>
      <c r="C60" s="647">
        <f>'RT03-F12 %'!C36</f>
        <v>0</v>
      </c>
      <c r="D60" s="648">
        <f>'RT03-F12 %'!C37</f>
        <v>0</v>
      </c>
      <c r="E60" s="850"/>
      <c r="G60" s="850"/>
    </row>
    <row r="61" spans="1:7" ht="30" customHeight="1" x14ac:dyDescent="0.2">
      <c r="A61" s="1535">
        <f>'RT03-F12 %'!D35</f>
        <v>2</v>
      </c>
      <c r="B61" s="1536"/>
      <c r="C61" s="649">
        <f>'RT03-F12 %'!D36</f>
        <v>0</v>
      </c>
      <c r="D61" s="650">
        <f>'RT03-F12 %'!D37</f>
        <v>0</v>
      </c>
      <c r="E61" s="850"/>
      <c r="F61" s="850"/>
      <c r="G61" s="850"/>
    </row>
    <row r="62" spans="1:7" ht="30" customHeight="1" x14ac:dyDescent="0.2">
      <c r="A62" s="1535">
        <f>'RT03-F12 %'!E35</f>
        <v>3</v>
      </c>
      <c r="B62" s="1536"/>
      <c r="C62" s="651">
        <f>'RT03-F12 %'!E36</f>
        <v>0</v>
      </c>
      <c r="D62" s="650">
        <f>'RT03-F12 %'!E37</f>
        <v>0</v>
      </c>
      <c r="E62" s="850"/>
      <c r="F62" s="850"/>
      <c r="G62" s="850"/>
    </row>
    <row r="63" spans="1:7" ht="30" customHeight="1" x14ac:dyDescent="0.2">
      <c r="A63" s="1535">
        <f>'RT03-F12 %'!F35</f>
        <v>4</v>
      </c>
      <c r="B63" s="1536"/>
      <c r="C63" s="651">
        <f>'RT03-F12 %'!F36</f>
        <v>0</v>
      </c>
      <c r="D63" s="650">
        <f>'RT03-F12 %'!F37</f>
        <v>0</v>
      </c>
      <c r="E63" s="850"/>
      <c r="F63" s="850"/>
      <c r="G63" s="850"/>
    </row>
    <row r="64" spans="1:7" ht="30" customHeight="1" thickBot="1" x14ac:dyDescent="0.25">
      <c r="A64" s="1556">
        <f>'RT03-F12 %'!G35</f>
        <v>5</v>
      </c>
      <c r="B64" s="1557"/>
      <c r="C64" s="649">
        <f>'RT03-F12 %'!G36</f>
        <v>0</v>
      </c>
      <c r="D64" s="652">
        <f>'RT03-F12 %'!G37</f>
        <v>0</v>
      </c>
      <c r="E64" s="850"/>
      <c r="F64" s="850"/>
      <c r="G64" s="850"/>
    </row>
    <row r="65" spans="1:7" ht="30" customHeight="1" thickBot="1" x14ac:dyDescent="0.25">
      <c r="A65" s="1512" t="s">
        <v>274</v>
      </c>
      <c r="B65" s="1513"/>
      <c r="C65" s="1514"/>
      <c r="D65" s="638">
        <f>'RT03-F12 %'!C39/1000</f>
        <v>0</v>
      </c>
      <c r="E65" s="850"/>
      <c r="F65" s="850"/>
      <c r="G65" s="850"/>
    </row>
    <row r="66" spans="1:7" ht="17.100000000000001" customHeight="1" x14ac:dyDescent="0.2">
      <c r="A66" s="886"/>
      <c r="B66" s="886"/>
      <c r="C66" s="886"/>
      <c r="D66" s="654"/>
      <c r="E66" s="850"/>
      <c r="F66" s="850"/>
      <c r="G66" s="850"/>
    </row>
    <row r="67" spans="1:7" ht="12" customHeight="1" x14ac:dyDescent="0.2">
      <c r="A67" s="1487" t="s">
        <v>403</v>
      </c>
      <c r="B67" s="1487"/>
      <c r="C67" s="1487"/>
      <c r="D67" s="1487"/>
      <c r="E67" s="1487"/>
      <c r="F67" s="1487"/>
      <c r="G67" s="1487"/>
    </row>
    <row r="68" spans="1:7" ht="29.1" customHeight="1" x14ac:dyDescent="0.2">
      <c r="A68" s="1487"/>
      <c r="B68" s="1487"/>
      <c r="C68" s="1487"/>
      <c r="D68" s="1487"/>
      <c r="E68" s="1487"/>
      <c r="F68" s="1487"/>
      <c r="G68" s="1487"/>
    </row>
    <row r="69" spans="1:7" ht="20.100000000000001" customHeight="1" x14ac:dyDescent="0.2">
      <c r="A69" s="655"/>
      <c r="B69" s="655"/>
      <c r="C69" s="655"/>
      <c r="D69" s="655"/>
      <c r="E69" s="655"/>
      <c r="F69" s="655"/>
      <c r="G69" s="655"/>
    </row>
    <row r="70" spans="1:7" ht="125.1" customHeight="1" x14ac:dyDescent="0.2">
      <c r="A70" s="1561"/>
      <c r="B70" s="1561"/>
      <c r="C70" s="1561"/>
      <c r="D70" s="1561"/>
      <c r="E70" s="1561"/>
      <c r="F70" s="1561"/>
      <c r="G70" s="1561"/>
    </row>
    <row r="71" spans="1:7" ht="35.1" customHeight="1" x14ac:dyDescent="0.2">
      <c r="A71" s="853"/>
      <c r="B71" s="853"/>
      <c r="C71" s="853"/>
      <c r="D71" s="853"/>
      <c r="E71" s="853"/>
      <c r="F71" s="853"/>
      <c r="G71" s="853"/>
    </row>
    <row r="72" spans="1:7" ht="35.1" customHeight="1" x14ac:dyDescent="0.2">
      <c r="A72" s="656"/>
      <c r="B72" s="656"/>
      <c r="C72" s="656"/>
      <c r="D72" s="656"/>
      <c r="E72" s="1507" t="s">
        <v>247</v>
      </c>
      <c r="F72" s="1507"/>
      <c r="G72" s="622" t="e">
        <f>G3</f>
        <v>#N/A</v>
      </c>
    </row>
    <row r="73" spans="1:7" ht="23.1" customHeight="1" x14ac:dyDescent="0.2">
      <c r="A73" s="1508" t="s">
        <v>71</v>
      </c>
      <c r="B73" s="1508"/>
      <c r="C73" s="1508"/>
      <c r="F73" s="633"/>
      <c r="G73" s="633"/>
    </row>
    <row r="74" spans="1:7" ht="12" customHeight="1" thickBot="1" x14ac:dyDescent="0.25">
      <c r="F74" s="633"/>
    </row>
    <row r="75" spans="1:7" ht="15" customHeight="1" thickBot="1" x14ac:dyDescent="0.25">
      <c r="A75" s="1558" t="s">
        <v>244</v>
      </c>
      <c r="B75" s="1560"/>
      <c r="C75" s="1560"/>
      <c r="D75" s="1560"/>
      <c r="E75" s="1559"/>
      <c r="F75" s="633"/>
      <c r="G75" s="633"/>
    </row>
    <row r="76" spans="1:7" ht="20.100000000000001" customHeight="1" thickBot="1" x14ac:dyDescent="0.25">
      <c r="A76" s="1543" t="str">
        <f>'RT03-F12 %'!A43</f>
        <v>Cargas (g)</v>
      </c>
      <c r="B76" s="1544"/>
      <c r="C76" s="885">
        <f>'RT03-F12 %'!A44</f>
        <v>0</v>
      </c>
      <c r="D76" s="885">
        <f>'RT03-F12 %'!A45</f>
        <v>0</v>
      </c>
      <c r="E76" s="887">
        <f>'RT03-F12 %'!A46</f>
        <v>0</v>
      </c>
      <c r="F76" s="633"/>
      <c r="G76" s="633"/>
    </row>
    <row r="77" spans="1:7" ht="30" customHeight="1" thickBot="1" x14ac:dyDescent="0.25">
      <c r="A77" s="1558" t="s">
        <v>246</v>
      </c>
      <c r="B77" s="1559"/>
      <c r="C77" s="888" t="s">
        <v>70</v>
      </c>
      <c r="D77" s="888" t="s">
        <v>70</v>
      </c>
      <c r="E77" s="888" t="s">
        <v>70</v>
      </c>
      <c r="F77" s="633"/>
      <c r="G77" s="633"/>
    </row>
    <row r="78" spans="1:7" ht="20.100000000000001" customHeight="1" x14ac:dyDescent="0.2">
      <c r="A78" s="1545">
        <f>'RT03-F12 %'!B43</f>
        <v>1</v>
      </c>
      <c r="B78" s="1546"/>
      <c r="C78" s="647">
        <f>'RT03-F12 %'!B44</f>
        <v>0</v>
      </c>
      <c r="D78" s="647">
        <f>'RT03-F12 %'!B45</f>
        <v>0</v>
      </c>
      <c r="E78" s="889">
        <f>'RT03-F12 %'!B46</f>
        <v>0</v>
      </c>
      <c r="F78" s="633"/>
      <c r="G78" s="633"/>
    </row>
    <row r="79" spans="1:7" ht="20.100000000000001" customHeight="1" x14ac:dyDescent="0.2">
      <c r="A79" s="1535">
        <f>'RT03-F12 %'!C43</f>
        <v>2</v>
      </c>
      <c r="B79" s="1536"/>
      <c r="C79" s="651">
        <f>'RT03-F12 %'!C44</f>
        <v>0</v>
      </c>
      <c r="D79" s="651">
        <f>'RT03-F12 %'!C45</f>
        <v>0</v>
      </c>
      <c r="E79" s="890">
        <f>'RT03-F12 %'!C46</f>
        <v>0</v>
      </c>
      <c r="F79" s="633"/>
      <c r="G79" s="633"/>
    </row>
    <row r="80" spans="1:7" ht="20.100000000000001" customHeight="1" x14ac:dyDescent="0.2">
      <c r="A80" s="1535">
        <f>'RT03-F12 %'!D43</f>
        <v>3</v>
      </c>
      <c r="B80" s="1536"/>
      <c r="C80" s="651">
        <f>'RT03-F12 %'!D44</f>
        <v>0</v>
      </c>
      <c r="D80" s="651">
        <f>'RT03-F12 %'!D45</f>
        <v>0</v>
      </c>
      <c r="E80" s="890">
        <f>'RT03-F12 %'!D46</f>
        <v>0</v>
      </c>
      <c r="F80" s="633"/>
      <c r="G80" s="633"/>
    </row>
    <row r="81" spans="1:7" ht="20.100000000000001" customHeight="1" x14ac:dyDescent="0.2">
      <c r="A81" s="1535">
        <f>'RT03-F12 %'!E43</f>
        <v>4</v>
      </c>
      <c r="B81" s="1536"/>
      <c r="C81" s="651">
        <f>'RT03-F12 %'!E44</f>
        <v>0</v>
      </c>
      <c r="D81" s="651">
        <f>'RT03-F12 %'!E45</f>
        <v>0</v>
      </c>
      <c r="E81" s="890">
        <f>'RT03-F12 %'!E46</f>
        <v>0</v>
      </c>
      <c r="F81" s="633"/>
      <c r="G81" s="633"/>
    </row>
    <row r="82" spans="1:7" ht="20.100000000000001" customHeight="1" x14ac:dyDescent="0.2">
      <c r="A82" s="1535">
        <f>'RT03-F12 %'!F43</f>
        <v>5</v>
      </c>
      <c r="B82" s="1536"/>
      <c r="C82" s="651">
        <f>'RT03-F12 %'!F44</f>
        <v>0</v>
      </c>
      <c r="D82" s="651">
        <f>'RT03-F12 %'!F45</f>
        <v>0</v>
      </c>
      <c r="E82" s="890">
        <f>'RT03-F12 %'!F46</f>
        <v>0</v>
      </c>
      <c r="F82" s="633"/>
      <c r="G82" s="633"/>
    </row>
    <row r="83" spans="1:7" ht="20.100000000000001" customHeight="1" x14ac:dyDescent="0.2">
      <c r="A83" s="1535">
        <f>'RT03-F12 %'!G43</f>
        <v>6</v>
      </c>
      <c r="B83" s="1536"/>
      <c r="C83" s="651">
        <f>'RT03-F12 %'!G44</f>
        <v>0</v>
      </c>
      <c r="D83" s="651">
        <f>'RT03-F12 %'!G45</f>
        <v>0</v>
      </c>
      <c r="E83" s="890">
        <f>'RT03-F12 %'!G46</f>
        <v>0</v>
      </c>
      <c r="F83" s="633"/>
      <c r="G83" s="633"/>
    </row>
    <row r="84" spans="1:7" ht="20.100000000000001" customHeight="1" x14ac:dyDescent="0.2">
      <c r="A84" s="1535">
        <f>'RT03-F12 %'!H43</f>
        <v>7</v>
      </c>
      <c r="B84" s="1536"/>
      <c r="C84" s="651">
        <f>'RT03-F12 %'!H44</f>
        <v>0</v>
      </c>
      <c r="D84" s="651">
        <f>'RT03-F12 %'!H45</f>
        <v>0</v>
      </c>
      <c r="E84" s="890">
        <f>'RT03-F12 %'!H46</f>
        <v>0</v>
      </c>
      <c r="F84" s="633"/>
      <c r="G84" s="633"/>
    </row>
    <row r="85" spans="1:7" ht="20.100000000000001" customHeight="1" x14ac:dyDescent="0.2">
      <c r="A85" s="1535">
        <f>'RT03-F12 %'!I43</f>
        <v>8</v>
      </c>
      <c r="B85" s="1536"/>
      <c r="C85" s="651">
        <f>'RT03-F12 %'!I44</f>
        <v>0</v>
      </c>
      <c r="D85" s="651">
        <f>'RT03-F12 %'!I45</f>
        <v>0</v>
      </c>
      <c r="E85" s="890">
        <f>'RT03-F12 %'!I46</f>
        <v>0</v>
      </c>
      <c r="F85" s="633"/>
      <c r="G85" s="633"/>
    </row>
    <row r="86" spans="1:7" ht="20.100000000000001" customHeight="1" x14ac:dyDescent="0.2">
      <c r="A86" s="1535">
        <f>'RT03-F12 %'!J43</f>
        <v>9</v>
      </c>
      <c r="B86" s="1536"/>
      <c r="C86" s="651">
        <f>'RT03-F12 %'!J44</f>
        <v>0</v>
      </c>
      <c r="D86" s="651">
        <f>'RT03-F12 %'!J45</f>
        <v>0</v>
      </c>
      <c r="E86" s="890">
        <f>'RT03-F12 %'!J46</f>
        <v>0</v>
      </c>
      <c r="F86" s="633"/>
      <c r="G86" s="633"/>
    </row>
    <row r="87" spans="1:7" ht="20.100000000000001" customHeight="1" thickBot="1" x14ac:dyDescent="0.25">
      <c r="A87" s="1556">
        <f>'RT03-F12 %'!K43</f>
        <v>10</v>
      </c>
      <c r="B87" s="1557"/>
      <c r="C87" s="891">
        <f>'RT03-F12 %'!K44</f>
        <v>0</v>
      </c>
      <c r="D87" s="891">
        <f>'RT03-F12 %'!K45</f>
        <v>0</v>
      </c>
      <c r="E87" s="892">
        <f>'RT03-F12 %'!K46</f>
        <v>0</v>
      </c>
      <c r="F87" s="850"/>
      <c r="G87" s="850"/>
    </row>
    <row r="88" spans="1:7" ht="12" customHeight="1" x14ac:dyDescent="0.2">
      <c r="A88" s="624"/>
      <c r="B88" s="624"/>
      <c r="C88" s="624"/>
      <c r="D88" s="624"/>
      <c r="E88" s="850"/>
      <c r="F88" s="850"/>
      <c r="G88" s="850"/>
    </row>
    <row r="89" spans="1:7" ht="48" customHeight="1" x14ac:dyDescent="0.2">
      <c r="A89" s="1571" t="s">
        <v>241</v>
      </c>
      <c r="B89" s="1571"/>
      <c r="C89" s="1571"/>
      <c r="D89" s="1571"/>
      <c r="E89" s="1571"/>
      <c r="F89" s="1571"/>
      <c r="G89" s="1571"/>
    </row>
    <row r="90" spans="1:7" ht="12" customHeight="1" x14ac:dyDescent="0.2">
      <c r="F90" s="850"/>
      <c r="G90" s="850"/>
    </row>
    <row r="91" spans="1:7" ht="23.1" customHeight="1" x14ac:dyDescent="0.2">
      <c r="A91" s="1508" t="s">
        <v>245</v>
      </c>
      <c r="B91" s="1508"/>
      <c r="C91" s="1508"/>
      <c r="D91" s="1508"/>
      <c r="E91" s="1508"/>
      <c r="F91" s="624"/>
      <c r="G91" s="624"/>
    </row>
    <row r="92" spans="1:7" ht="12" customHeight="1" thickBot="1" x14ac:dyDescent="0.25">
      <c r="E92" s="61"/>
    </row>
    <row r="93" spans="1:7" ht="30.95" customHeight="1" thickBot="1" x14ac:dyDescent="0.25">
      <c r="A93" s="1563" t="s">
        <v>240</v>
      </c>
      <c r="B93" s="1564"/>
      <c r="C93" s="1564"/>
      <c r="D93" s="1565"/>
      <c r="E93" s="619" t="s">
        <v>354</v>
      </c>
      <c r="F93" s="619" t="s">
        <v>370</v>
      </c>
      <c r="G93" s="619" t="s">
        <v>371</v>
      </c>
    </row>
    <row r="94" spans="1:7" ht="30" customHeight="1" thickBot="1" x14ac:dyDescent="0.25">
      <c r="A94" s="1486" t="s">
        <v>354</v>
      </c>
      <c r="B94" s="1486"/>
      <c r="C94" s="893" t="s">
        <v>261</v>
      </c>
      <c r="D94" s="893" t="s">
        <v>422</v>
      </c>
      <c r="E94" s="619" t="e">
        <f>'RT03-F12 %'!G21</f>
        <v>#N/A</v>
      </c>
      <c r="F94" s="619">
        <v>1</v>
      </c>
      <c r="G94" s="619">
        <v>-1</v>
      </c>
    </row>
    <row r="95" spans="1:7" ht="20.100000000000001" customHeight="1" x14ac:dyDescent="0.2">
      <c r="A95" s="1569" t="e">
        <f>'RT03-F12 %'!K95</f>
        <v>#N/A</v>
      </c>
      <c r="B95" s="1570"/>
      <c r="C95" s="894">
        <f>'RT03-F12 %'!C55</f>
        <v>0</v>
      </c>
      <c r="D95" s="895" t="e">
        <f>'RT03-F12 %'!D55</f>
        <v>#N/A</v>
      </c>
      <c r="E95" s="620" t="e">
        <f>'RT03-F12 %'!G22</f>
        <v>#N/A</v>
      </c>
      <c r="F95" s="619">
        <v>1</v>
      </c>
      <c r="G95" s="619">
        <v>-1</v>
      </c>
    </row>
    <row r="96" spans="1:7" ht="20.100000000000001" customHeight="1" x14ac:dyDescent="0.2">
      <c r="A96" s="1578" t="e">
        <f>'RT03-F12 %'!K96</f>
        <v>#N/A</v>
      </c>
      <c r="B96" s="1579"/>
      <c r="C96" s="651">
        <f>'RT03-F12 %'!C56</f>
        <v>0</v>
      </c>
      <c r="D96" s="896" t="e">
        <f>'RT03-F12 %'!D56</f>
        <v>#N/A</v>
      </c>
      <c r="E96" s="620" t="e">
        <f>'RT03-F12 %'!G23</f>
        <v>#N/A</v>
      </c>
      <c r="F96" s="619">
        <v>1</v>
      </c>
      <c r="G96" s="619">
        <v>-1</v>
      </c>
    </row>
    <row r="97" spans="1:7" ht="20.100000000000001" customHeight="1" x14ac:dyDescent="0.2">
      <c r="A97" s="1578" t="e">
        <f>'RT03-F12 %'!K97</f>
        <v>#N/A</v>
      </c>
      <c r="B97" s="1579"/>
      <c r="C97" s="651">
        <f>'RT03-F12 %'!C57</f>
        <v>0</v>
      </c>
      <c r="D97" s="896" t="e">
        <f>'RT03-F12 %'!D57</f>
        <v>#N/A</v>
      </c>
      <c r="E97" s="620" t="e">
        <f>'RT03-F12 %'!G24</f>
        <v>#N/A</v>
      </c>
      <c r="F97" s="619">
        <v>1</v>
      </c>
      <c r="G97" s="619">
        <v>-1</v>
      </c>
    </row>
    <row r="98" spans="1:7" ht="20.100000000000001" customHeight="1" x14ac:dyDescent="0.2">
      <c r="A98" s="1578" t="e">
        <f>'RT03-F12 %'!K98</f>
        <v>#N/A</v>
      </c>
      <c r="B98" s="1579"/>
      <c r="C98" s="651">
        <f>'RT03-F12 %'!C58</f>
        <v>0</v>
      </c>
      <c r="D98" s="897" t="e">
        <f>'RT03-F12 %'!D58</f>
        <v>#N/A</v>
      </c>
      <c r="E98" s="620" t="e">
        <f>'RT03-F12 %'!G24</f>
        <v>#N/A</v>
      </c>
      <c r="F98" s="619">
        <v>2</v>
      </c>
      <c r="G98" s="619">
        <v>-2</v>
      </c>
    </row>
    <row r="99" spans="1:7" ht="20.100000000000001" customHeight="1" thickBot="1" x14ac:dyDescent="0.25">
      <c r="A99" s="1484" t="e">
        <f>'RT03-F12 %'!K99</f>
        <v>#N/A</v>
      </c>
      <c r="B99" s="1485"/>
      <c r="C99" s="891">
        <f>'RT03-F12 %'!C59</f>
        <v>0</v>
      </c>
      <c r="D99" s="898" t="e">
        <f>'RT03-F12 %'!D59</f>
        <v>#N/A</v>
      </c>
      <c r="E99" s="620" t="e">
        <f>'RT03-F12 %'!G25</f>
        <v>#N/A</v>
      </c>
      <c r="F99" s="619">
        <v>2</v>
      </c>
      <c r="G99" s="619">
        <v>-2</v>
      </c>
    </row>
    <row r="100" spans="1:7" ht="15.95" customHeight="1" thickBot="1" x14ac:dyDescent="0.25">
      <c r="A100" s="670"/>
      <c r="B100" s="670"/>
      <c r="C100" s="670"/>
      <c r="D100" s="670"/>
      <c r="E100" s="624"/>
      <c r="F100" s="624"/>
      <c r="G100" s="670"/>
    </row>
    <row r="101" spans="1:7" ht="18.75" customHeight="1" thickBot="1" x14ac:dyDescent="0.25">
      <c r="A101" s="1501" t="s">
        <v>242</v>
      </c>
      <c r="B101" s="1502"/>
      <c r="C101" s="1503"/>
      <c r="D101" s="1504"/>
      <c r="E101" s="899" t="s">
        <v>316</v>
      </c>
      <c r="F101" s="624"/>
      <c r="G101" s="670"/>
    </row>
    <row r="102" spans="1:7" ht="30" customHeight="1" thickBot="1" x14ac:dyDescent="0.25">
      <c r="A102" s="1486" t="s">
        <v>354</v>
      </c>
      <c r="B102" s="1486"/>
      <c r="C102" s="900" t="s">
        <v>422</v>
      </c>
      <c r="D102" s="900" t="s">
        <v>280</v>
      </c>
      <c r="E102" s="900" t="s">
        <v>317</v>
      </c>
      <c r="F102" s="624"/>
      <c r="G102" s="670"/>
    </row>
    <row r="103" spans="1:7" ht="20.100000000000001" customHeight="1" x14ac:dyDescent="0.2">
      <c r="A103" s="1572" t="e">
        <f>'RT03-F12 %'!K95</f>
        <v>#N/A</v>
      </c>
      <c r="B103" s="1573"/>
      <c r="C103" s="901" t="e">
        <f>'RT03-F12 %'!M95</f>
        <v>#DIV/0!</v>
      </c>
      <c r="D103" s="902" t="e">
        <f>IF('RT03-F12 %'!O95&lt;=('RT03-F12 %'!Q95),' CMC %'!C21,'RT03-F12 %'!O95)</f>
        <v>#N/A</v>
      </c>
      <c r="E103" s="903" t="e">
        <f>'Pc % '!N7</f>
        <v>#DIV/0!</v>
      </c>
      <c r="F103" s="904"/>
      <c r="G103" s="673"/>
    </row>
    <row r="104" spans="1:7" ht="20.100000000000001" customHeight="1" x14ac:dyDescent="0.2">
      <c r="A104" s="1574" t="e">
        <f>'RT03-F12 %'!K96</f>
        <v>#N/A</v>
      </c>
      <c r="B104" s="1575"/>
      <c r="C104" s="905" t="e">
        <f>'RT03-F12 %'!M96</f>
        <v>#DIV/0!</v>
      </c>
      <c r="D104" s="902" t="e">
        <f>IF('RT03-F12 %'!O96&lt;=('RT03-F12 %'!Q96),' CMC %'!C21,'RT03-F12 %'!O96)</f>
        <v>#N/A</v>
      </c>
      <c r="E104" s="903" t="e">
        <f>'Pc % '!N8</f>
        <v>#DIV/0!</v>
      </c>
      <c r="F104" s="904"/>
      <c r="G104" s="674"/>
    </row>
    <row r="105" spans="1:7" ht="20.100000000000001" customHeight="1" x14ac:dyDescent="0.2">
      <c r="A105" s="1574" t="e">
        <f>'RT03-F12 %'!K97</f>
        <v>#N/A</v>
      </c>
      <c r="B105" s="1575"/>
      <c r="C105" s="905" t="e">
        <f>'RT03-F12 %'!M97</f>
        <v>#DIV/0!</v>
      </c>
      <c r="D105" s="906" t="e">
        <f>IF('RT03-F12 %'!O97&lt;=('RT03-F12 %'!Q97),' CMC %'!C21,'RT03-F12 %'!O97)</f>
        <v>#N/A</v>
      </c>
      <c r="E105" s="903" t="e">
        <f>'Pc % '!N9</f>
        <v>#DIV/0!</v>
      </c>
      <c r="F105" s="904"/>
      <c r="G105" s="674"/>
    </row>
    <row r="106" spans="1:7" ht="20.100000000000001" customHeight="1" x14ac:dyDescent="0.2">
      <c r="A106" s="1574" t="e">
        <f>'RT03-F12 %'!K98</f>
        <v>#N/A</v>
      </c>
      <c r="B106" s="1575"/>
      <c r="C106" s="907" t="e">
        <f>'RT03-F12 %'!M98</f>
        <v>#DIV/0!</v>
      </c>
      <c r="D106" s="908" t="e">
        <f>IF('RT03-F12 %'!O98&lt;=('RT03-F12 %'!Q98),' CMC %'!C21,'RT03-F12 %'!O98)</f>
        <v>#N/A</v>
      </c>
      <c r="E106" s="903" t="e">
        <f>'Pc % '!N10</f>
        <v>#DIV/0!</v>
      </c>
      <c r="F106" s="904"/>
      <c r="G106" s="674"/>
    </row>
    <row r="107" spans="1:7" ht="20.100000000000001" customHeight="1" thickBot="1" x14ac:dyDescent="0.25">
      <c r="A107" s="1576" t="e">
        <f>'RT03-F12 %'!K99</f>
        <v>#N/A</v>
      </c>
      <c r="B107" s="1577"/>
      <c r="C107" s="909" t="e">
        <f>'RT03-F12 %'!M99</f>
        <v>#DIV/0!</v>
      </c>
      <c r="D107" s="910" t="e">
        <f>IF('RT03-F12 %'!O99&lt;=('RT03-F12 %'!Q99),' CMC %'!C21,'RT03-F12 %'!O99)</f>
        <v>#N/A</v>
      </c>
      <c r="E107" s="903" t="e">
        <f>'Pc % '!N11</f>
        <v>#DIV/0!</v>
      </c>
      <c r="F107" s="911"/>
      <c r="G107" s="674"/>
    </row>
    <row r="108" spans="1:7" ht="20.100000000000001" customHeight="1" x14ac:dyDescent="0.2">
      <c r="A108" s="912"/>
      <c r="B108" s="912"/>
      <c r="C108" s="913"/>
      <c r="D108" s="913"/>
      <c r="E108" s="914"/>
      <c r="F108" s="911"/>
      <c r="G108" s="674"/>
    </row>
    <row r="109" spans="1:7" ht="125.1" customHeight="1" x14ac:dyDescent="0.2">
      <c r="A109" s="912"/>
      <c r="B109" s="912"/>
      <c r="C109" s="913"/>
      <c r="D109" s="913"/>
      <c r="E109" s="914"/>
      <c r="F109" s="911"/>
      <c r="G109" s="674"/>
    </row>
    <row r="110" spans="1:7" ht="35.1" customHeight="1" x14ac:dyDescent="0.2">
      <c r="A110" s="912"/>
      <c r="B110" s="912"/>
      <c r="C110" s="913"/>
      <c r="D110" s="913"/>
      <c r="E110" s="914"/>
      <c r="F110" s="911"/>
      <c r="G110" s="674"/>
    </row>
    <row r="111" spans="1:7" ht="35.1" customHeight="1" thickBot="1" x14ac:dyDescent="0.25">
      <c r="A111" s="679"/>
      <c r="B111" s="679"/>
      <c r="C111" s="680"/>
      <c r="D111" s="680"/>
      <c r="E111" s="1507" t="s">
        <v>247</v>
      </c>
      <c r="F111" s="1507"/>
      <c r="G111" s="622" t="e">
        <f>G3</f>
        <v>#N/A</v>
      </c>
    </row>
    <row r="112" spans="1:7" ht="24" customHeight="1" thickBot="1" x14ac:dyDescent="0.25">
      <c r="A112" s="1488" t="s">
        <v>313</v>
      </c>
      <c r="B112" s="1489"/>
      <c r="C112" s="955" t="s">
        <v>314</v>
      </c>
      <c r="D112" s="956" t="s">
        <v>508</v>
      </c>
      <c r="E112" s="633"/>
      <c r="F112" s="915"/>
      <c r="G112" s="633"/>
    </row>
    <row r="113" spans="1:7" ht="24" customHeight="1" x14ac:dyDescent="0.2">
      <c r="A113" s="1490" t="s">
        <v>315</v>
      </c>
      <c r="B113" s="1491"/>
      <c r="C113" s="958" t="s">
        <v>509</v>
      </c>
      <c r="D113" s="959">
        <v>1</v>
      </c>
      <c r="E113" s="633"/>
      <c r="F113" s="915"/>
      <c r="G113" s="633"/>
    </row>
    <row r="114" spans="1:7" ht="31.5" customHeight="1" thickBot="1" x14ac:dyDescent="0.25">
      <c r="A114" s="1566" t="s">
        <v>321</v>
      </c>
      <c r="B114" s="1567"/>
      <c r="C114" s="960" t="s">
        <v>510</v>
      </c>
      <c r="D114" s="961">
        <v>2</v>
      </c>
      <c r="E114" s="633"/>
      <c r="F114" s="915"/>
      <c r="G114" s="633"/>
    </row>
    <row r="115" spans="1:7" ht="12.75" customHeight="1" x14ac:dyDescent="0.2">
      <c r="A115" s="633"/>
      <c r="B115" s="633"/>
      <c r="C115" s="633"/>
      <c r="D115" s="633"/>
      <c r="E115" s="633"/>
      <c r="F115" s="915"/>
      <c r="G115" s="633"/>
    </row>
    <row r="116" spans="1:7" ht="15" customHeight="1" x14ac:dyDescent="0.2">
      <c r="A116" s="670"/>
      <c r="B116" s="670"/>
      <c r="C116" s="680"/>
      <c r="D116" s="680"/>
      <c r="E116" s="624"/>
      <c r="F116" s="624"/>
      <c r="G116" s="624"/>
    </row>
    <row r="117" spans="1:7" ht="15" customHeight="1" x14ac:dyDescent="0.2">
      <c r="A117" s="633"/>
      <c r="B117" s="633"/>
      <c r="C117" s="684"/>
      <c r="D117" s="633"/>
      <c r="E117" s="633"/>
      <c r="F117" s="633"/>
      <c r="G117" s="633"/>
    </row>
    <row r="118" spans="1:7" ht="15" customHeight="1" x14ac:dyDescent="0.2">
      <c r="A118" s="633"/>
      <c r="B118" s="633"/>
      <c r="C118" s="633"/>
      <c r="D118" s="633"/>
      <c r="E118" s="633"/>
      <c r="F118" s="633"/>
      <c r="G118" s="633"/>
    </row>
    <row r="119" spans="1:7" ht="15" customHeight="1" x14ac:dyDescent="0.2">
      <c r="A119" s="633"/>
      <c r="B119" s="633"/>
      <c r="C119" s="633"/>
      <c r="D119" s="633"/>
      <c r="E119" s="633"/>
      <c r="F119" s="633"/>
      <c r="G119" s="633"/>
    </row>
    <row r="120" spans="1:7" ht="15" customHeight="1" x14ac:dyDescent="0.2">
      <c r="A120" s="633"/>
      <c r="B120" s="633"/>
      <c r="C120" s="633"/>
      <c r="D120" s="633"/>
      <c r="E120" s="633"/>
      <c r="F120" s="633"/>
      <c r="G120" s="633"/>
    </row>
    <row r="121" spans="1:7" ht="15" customHeight="1" x14ac:dyDescent="0.2">
      <c r="A121" s="633"/>
      <c r="B121" s="633"/>
      <c r="C121" s="633"/>
      <c r="D121" s="633"/>
      <c r="E121" s="633"/>
      <c r="F121" s="633"/>
      <c r="G121" s="633"/>
    </row>
    <row r="122" spans="1:7" ht="15" customHeight="1" x14ac:dyDescent="0.2">
      <c r="A122" s="633"/>
      <c r="B122" s="633"/>
      <c r="C122" s="633"/>
      <c r="D122" s="633"/>
      <c r="E122" s="633"/>
      <c r="F122" s="633"/>
      <c r="G122" s="633"/>
    </row>
    <row r="123" spans="1:7" ht="15" customHeight="1" x14ac:dyDescent="0.2">
      <c r="A123" s="633"/>
      <c r="B123" s="633"/>
      <c r="C123" s="633"/>
      <c r="D123" s="633"/>
      <c r="E123" s="633"/>
      <c r="F123" s="633"/>
      <c r="G123" s="633"/>
    </row>
    <row r="124" spans="1:7" ht="15" customHeight="1" x14ac:dyDescent="0.2">
      <c r="A124" s="633"/>
      <c r="B124" s="633"/>
      <c r="C124" s="633"/>
      <c r="D124" s="633"/>
      <c r="E124" s="633"/>
      <c r="F124" s="633"/>
      <c r="G124" s="633"/>
    </row>
    <row r="125" spans="1:7" ht="15" customHeight="1" x14ac:dyDescent="0.2">
      <c r="A125" s="633"/>
      <c r="B125" s="633"/>
      <c r="C125" s="633"/>
      <c r="D125" s="633"/>
      <c r="E125" s="633"/>
      <c r="F125" s="633"/>
      <c r="G125" s="633"/>
    </row>
    <row r="126" spans="1:7" ht="15" customHeight="1" x14ac:dyDescent="0.2">
      <c r="A126" s="633"/>
      <c r="B126" s="633"/>
      <c r="C126" s="633"/>
      <c r="D126" s="633"/>
      <c r="E126" s="633"/>
      <c r="F126" s="633"/>
      <c r="G126" s="633"/>
    </row>
    <row r="127" spans="1:7" ht="15" customHeight="1" x14ac:dyDescent="0.2">
      <c r="A127" s="633"/>
      <c r="B127" s="633"/>
      <c r="C127" s="633"/>
      <c r="D127" s="633"/>
      <c r="E127" s="633"/>
      <c r="F127" s="633"/>
      <c r="G127" s="633"/>
    </row>
    <row r="128" spans="1:7" ht="15" customHeight="1" x14ac:dyDescent="0.2">
      <c r="A128" s="633"/>
      <c r="B128" s="633"/>
      <c r="C128" s="633"/>
      <c r="D128" s="633"/>
      <c r="E128" s="633"/>
      <c r="F128" s="633"/>
      <c r="G128" s="633"/>
    </row>
    <row r="129" spans="1:8" ht="15" customHeight="1" x14ac:dyDescent="0.2">
      <c r="E129" s="624"/>
      <c r="F129" s="624"/>
      <c r="G129" s="624"/>
    </row>
    <row r="130" spans="1:8" ht="15" customHeight="1" x14ac:dyDescent="0.2">
      <c r="A130" s="624"/>
      <c r="B130" s="624"/>
      <c r="C130" s="624"/>
      <c r="D130" s="624"/>
      <c r="E130" s="624"/>
      <c r="F130" s="624"/>
      <c r="G130" s="624"/>
    </row>
    <row r="131" spans="1:8" ht="18.75" customHeight="1" x14ac:dyDescent="0.2">
      <c r="A131" s="624"/>
      <c r="B131" s="624"/>
      <c r="C131" s="624"/>
      <c r="D131" s="624"/>
      <c r="E131" s="624"/>
      <c r="F131" s="624"/>
      <c r="G131" s="624"/>
    </row>
    <row r="132" spans="1:8" ht="69.95" customHeight="1" x14ac:dyDescent="0.2">
      <c r="A132" s="1509" t="s">
        <v>464</v>
      </c>
      <c r="B132" s="1509"/>
      <c r="C132" s="1509"/>
      <c r="D132" s="1509"/>
      <c r="E132" s="1509"/>
      <c r="F132" s="1509"/>
      <c r="G132" s="1509"/>
    </row>
    <row r="133" spans="1:8" ht="11.25" customHeight="1" x14ac:dyDescent="0.2">
      <c r="A133" s="863"/>
      <c r="B133" s="863"/>
      <c r="C133" s="929"/>
      <c r="D133" s="929"/>
      <c r="E133" s="929"/>
      <c r="F133" s="929"/>
      <c r="G133" s="863"/>
    </row>
    <row r="134" spans="1:8" ht="21" customHeight="1" x14ac:dyDescent="0.2">
      <c r="A134" s="916"/>
      <c r="B134" s="916"/>
      <c r="C134" s="917"/>
      <c r="D134" s="917"/>
      <c r="E134" s="917"/>
      <c r="F134" s="917"/>
      <c r="G134" s="916"/>
    </row>
    <row r="135" spans="1:8" ht="21" customHeight="1" x14ac:dyDescent="0.2">
      <c r="A135" s="916"/>
      <c r="B135" s="916"/>
      <c r="C135" s="917"/>
      <c r="D135" s="917"/>
      <c r="E135" s="917"/>
      <c r="F135" s="917"/>
      <c r="G135" s="916"/>
    </row>
    <row r="136" spans="1:8" ht="20.100000000000001" customHeight="1" x14ac:dyDescent="0.2">
      <c r="A136" s="1508"/>
      <c r="B136" s="1508"/>
      <c r="C136" s="1508"/>
      <c r="D136" s="1508"/>
      <c r="E136" s="624"/>
      <c r="F136" s="624"/>
      <c r="G136" s="624"/>
    </row>
    <row r="137" spans="1:8" ht="20.100000000000001" customHeight="1" x14ac:dyDescent="0.2">
      <c r="A137" s="1506" t="s">
        <v>275</v>
      </c>
      <c r="B137" s="1506"/>
      <c r="C137" s="1506"/>
      <c r="D137" s="1506"/>
      <c r="E137" s="1506"/>
      <c r="F137" s="1506"/>
      <c r="G137" s="624"/>
    </row>
    <row r="138" spans="1:8" ht="12" customHeight="1" x14ac:dyDescent="0.2">
      <c r="A138" s="864"/>
      <c r="B138" s="864"/>
      <c r="C138" s="632"/>
      <c r="D138" s="632"/>
      <c r="E138" s="632"/>
      <c r="F138" s="632"/>
      <c r="G138" s="624"/>
    </row>
    <row r="139" spans="1:8" s="686" customFormat="1" ht="57.95" customHeight="1" x14ac:dyDescent="0.25">
      <c r="A139" s="1580" t="s">
        <v>375</v>
      </c>
      <c r="B139" s="1580"/>
      <c r="C139" s="1580"/>
      <c r="D139" s="1580"/>
      <c r="E139" s="1580"/>
      <c r="F139" s="1580"/>
      <c r="G139" s="1580"/>
    </row>
    <row r="140" spans="1:8" ht="24.75" customHeight="1" x14ac:dyDescent="0.2">
      <c r="A140" s="687"/>
      <c r="B140" s="687"/>
      <c r="C140" s="687"/>
      <c r="D140" s="687"/>
      <c r="E140" s="687"/>
      <c r="F140" s="687"/>
      <c r="G140" s="687"/>
    </row>
    <row r="141" spans="1:8" ht="20.100000000000001" customHeight="1" x14ac:dyDescent="0.2">
      <c r="A141" s="637"/>
      <c r="B141" s="637"/>
      <c r="C141" s="637"/>
      <c r="D141" s="637"/>
      <c r="E141" s="637"/>
      <c r="F141" s="637"/>
      <c r="G141" s="637"/>
      <c r="H141" s="688"/>
    </row>
    <row r="142" spans="1:8" ht="18" customHeight="1" x14ac:dyDescent="0.2">
      <c r="A142" s="637"/>
      <c r="B142" s="637"/>
      <c r="C142" s="637"/>
      <c r="D142" s="637"/>
      <c r="E142" s="637"/>
      <c r="F142" s="856"/>
      <c r="G142" s="689"/>
      <c r="H142" s="688"/>
    </row>
    <row r="143" spans="1:8" ht="18" customHeight="1" x14ac:dyDescent="0.2">
      <c r="A143" s="690"/>
      <c r="B143" s="690"/>
      <c r="C143" s="690"/>
      <c r="D143" s="690"/>
      <c r="E143" s="690"/>
      <c r="F143" s="691"/>
      <c r="G143" s="692"/>
      <c r="H143" s="688"/>
    </row>
    <row r="144" spans="1:8" ht="125.1" customHeight="1" x14ac:dyDescent="0.2">
      <c r="A144" s="1510"/>
      <c r="B144" s="1510"/>
      <c r="C144" s="1510"/>
      <c r="D144" s="1510"/>
      <c r="E144" s="1510"/>
      <c r="F144" s="1510"/>
      <c r="G144" s="1510"/>
    </row>
    <row r="145" spans="1:8" ht="35.1" customHeight="1" x14ac:dyDescent="0.2"/>
    <row r="146" spans="1:8" ht="35.1" customHeight="1" x14ac:dyDescent="0.2">
      <c r="E146" s="1507" t="s">
        <v>247</v>
      </c>
      <c r="F146" s="1507"/>
      <c r="G146" s="622" t="e">
        <f>G3</f>
        <v>#N/A</v>
      </c>
    </row>
    <row r="147" spans="1:8" ht="23.1" customHeight="1" x14ac:dyDescent="0.2">
      <c r="E147" s="849"/>
      <c r="F147" s="849"/>
      <c r="G147" s="693"/>
    </row>
    <row r="148" spans="1:8" ht="23.1" customHeight="1" x14ac:dyDescent="0.2">
      <c r="A148" s="1506" t="s">
        <v>276</v>
      </c>
      <c r="B148" s="1506"/>
      <c r="C148" s="1506"/>
      <c r="D148" s="1506"/>
      <c r="E148" s="694"/>
      <c r="F148" s="695"/>
      <c r="G148" s="695"/>
    </row>
    <row r="149" spans="1:8" ht="11.25" customHeight="1" x14ac:dyDescent="0.2">
      <c r="A149" s="1505"/>
      <c r="B149" s="1505"/>
      <c r="C149" s="1505"/>
      <c r="D149" s="1505"/>
      <c r="E149" s="1505"/>
      <c r="F149" s="1505"/>
      <c r="G149" s="1505"/>
    </row>
    <row r="150" spans="1:8" s="868" customFormat="1" ht="33" customHeight="1" x14ac:dyDescent="0.2">
      <c r="A150" s="785" t="s">
        <v>406</v>
      </c>
      <c r="B150" s="1568" t="s">
        <v>407</v>
      </c>
      <c r="C150" s="1568"/>
      <c r="D150" s="1568"/>
      <c r="E150" s="1568"/>
      <c r="F150" s="1568"/>
      <c r="G150" s="1568"/>
    </row>
    <row r="151" spans="1:8" s="868" customFormat="1" ht="33" customHeight="1" x14ac:dyDescent="0.2">
      <c r="A151" s="786" t="s">
        <v>406</v>
      </c>
      <c r="B151" s="1487" t="s">
        <v>408</v>
      </c>
      <c r="C151" s="1487"/>
      <c r="D151" s="1487"/>
      <c r="E151" s="1487"/>
      <c r="F151" s="1487"/>
      <c r="G151" s="1487"/>
      <c r="H151" s="697"/>
    </row>
    <row r="152" spans="1:8" s="868" customFormat="1" ht="33" customHeight="1" x14ac:dyDescent="0.2">
      <c r="A152" s="698" t="s">
        <v>409</v>
      </c>
      <c r="B152" s="1487" t="s">
        <v>410</v>
      </c>
      <c r="C152" s="1487"/>
      <c r="D152" s="1487"/>
      <c r="E152" s="1487"/>
      <c r="F152" s="1487"/>
      <c r="G152" s="1487"/>
      <c r="H152" s="697"/>
    </row>
    <row r="153" spans="1:8" s="868" customFormat="1" ht="23.1" customHeight="1" x14ac:dyDescent="0.2">
      <c r="A153" s="698" t="s">
        <v>406</v>
      </c>
      <c r="B153" s="1487" t="s">
        <v>411</v>
      </c>
      <c r="C153" s="1487"/>
      <c r="D153" s="1487"/>
      <c r="E153" s="1487"/>
      <c r="F153" s="1487"/>
      <c r="G153" s="1487"/>
    </row>
    <row r="154" spans="1:8" s="868" customFormat="1" ht="23.1" customHeight="1" x14ac:dyDescent="0.2">
      <c r="A154" s="698" t="s">
        <v>406</v>
      </c>
      <c r="B154" s="1487" t="s">
        <v>412</v>
      </c>
      <c r="C154" s="1487"/>
      <c r="D154" s="1487"/>
      <c r="E154" s="1487"/>
      <c r="F154" s="1487"/>
      <c r="G154" s="1487"/>
    </row>
    <row r="155" spans="1:8" s="697" customFormat="1" ht="33" customHeight="1" x14ac:dyDescent="0.2">
      <c r="A155" s="698" t="s">
        <v>406</v>
      </c>
      <c r="B155" s="1487" t="s">
        <v>413</v>
      </c>
      <c r="C155" s="1487"/>
      <c r="D155" s="1487"/>
      <c r="E155" s="1487"/>
      <c r="F155" s="1487"/>
      <c r="G155" s="1487"/>
    </row>
    <row r="156" spans="1:8" s="868" customFormat="1" ht="23.1" customHeight="1" x14ac:dyDescent="0.2">
      <c r="A156" s="865" t="s">
        <v>406</v>
      </c>
      <c r="B156" s="1568" t="s">
        <v>414</v>
      </c>
      <c r="C156" s="1568"/>
      <c r="D156" s="1568"/>
      <c r="E156" s="1568"/>
      <c r="F156" s="1568"/>
      <c r="G156" s="1568"/>
    </row>
    <row r="157" spans="1:8" s="868" customFormat="1" ht="23.1" customHeight="1" x14ac:dyDescent="0.2">
      <c r="A157" s="865" t="s">
        <v>409</v>
      </c>
      <c r="B157" s="1568" t="s">
        <v>416</v>
      </c>
      <c r="C157" s="1568"/>
      <c r="D157" s="1568"/>
      <c r="E157" s="1568"/>
      <c r="F157" s="1568"/>
      <c r="G157" s="1568"/>
    </row>
    <row r="158" spans="1:8" s="868" customFormat="1" ht="23.1" customHeight="1" x14ac:dyDescent="0.2">
      <c r="A158" s="865" t="s">
        <v>406</v>
      </c>
      <c r="B158" s="1568" t="s">
        <v>415</v>
      </c>
      <c r="C158" s="1568"/>
      <c r="D158" s="1568"/>
      <c r="E158" s="1568"/>
      <c r="F158" s="1568"/>
      <c r="G158" s="1568"/>
    </row>
    <row r="159" spans="1:8" s="868" customFormat="1" ht="33" customHeight="1" x14ac:dyDescent="0.2">
      <c r="A159" s="865" t="s">
        <v>406</v>
      </c>
      <c r="B159" s="1499" t="s">
        <v>485</v>
      </c>
      <c r="C159" s="1499"/>
      <c r="D159" s="1499"/>
      <c r="E159" s="1499"/>
      <c r="F159" s="1499"/>
      <c r="G159" s="1499"/>
    </row>
    <row r="160" spans="1:8" ht="23.1" customHeight="1" x14ac:dyDescent="0.2">
      <c r="A160" s="698"/>
      <c r="B160" s="1500"/>
      <c r="C160" s="1500"/>
      <c r="D160" s="1500"/>
      <c r="E160" s="1500"/>
      <c r="F160" s="1500"/>
      <c r="G160" s="1500"/>
    </row>
    <row r="161" spans="1:11" ht="20.25" customHeight="1" x14ac:dyDescent="0.2">
      <c r="A161" s="699"/>
      <c r="B161" s="852"/>
      <c r="C161" s="852"/>
      <c r="D161" s="852"/>
      <c r="E161" s="852"/>
      <c r="F161" s="852"/>
      <c r="G161" s="852"/>
    </row>
    <row r="162" spans="1:11" ht="20.100000000000001" customHeight="1" x14ac:dyDescent="0.25">
      <c r="A162" s="1562" t="s">
        <v>319</v>
      </c>
      <c r="B162" s="1562"/>
      <c r="C162" s="1562"/>
      <c r="D162" s="700"/>
      <c r="E162" s="700"/>
      <c r="F162" s="701"/>
      <c r="G162" s="701"/>
    </row>
    <row r="163" spans="1:11" ht="20.100000000000001" customHeight="1" x14ac:dyDescent="0.2">
      <c r="A163" s="852"/>
      <c r="B163" s="852"/>
      <c r="C163" s="852"/>
      <c r="D163" s="852"/>
      <c r="E163" s="852"/>
      <c r="F163" s="852"/>
      <c r="G163" s="852"/>
    </row>
    <row r="164" spans="1:11" ht="20.100000000000001" customHeight="1" x14ac:dyDescent="0.2">
      <c r="A164" s="1493"/>
      <c r="B164" s="1493"/>
      <c r="C164" s="1493"/>
      <c r="D164" s="1493"/>
      <c r="E164" s="1493"/>
      <c r="F164" s="1493"/>
      <c r="G164" s="1493"/>
    </row>
    <row r="165" spans="1:11" ht="30" customHeight="1" x14ac:dyDescent="0.2">
      <c r="A165" s="829"/>
      <c r="B165" s="829"/>
      <c r="C165" s="829"/>
      <c r="D165" s="983"/>
      <c r="E165" s="851"/>
      <c r="F165" s="851"/>
      <c r="G165" s="983"/>
    </row>
    <row r="166" spans="1:11" ht="20.100000000000001" customHeight="1" x14ac:dyDescent="0.2">
      <c r="A166" s="1494" t="s">
        <v>72</v>
      </c>
      <c r="B166" s="1494"/>
      <c r="C166" s="1494"/>
      <c r="D166" s="1494"/>
      <c r="E166" s="1494" t="s">
        <v>85</v>
      </c>
      <c r="F166" s="1494"/>
      <c r="G166" s="1494"/>
    </row>
    <row r="167" spans="1:11" ht="23.1" customHeight="1" x14ac:dyDescent="0.2">
      <c r="A167" s="1496" t="s">
        <v>277</v>
      </c>
      <c r="B167" s="1496"/>
      <c r="C167" s="1496"/>
      <c r="D167" s="1496"/>
      <c r="E167" s="1496" t="s">
        <v>278</v>
      </c>
      <c r="F167" s="1496"/>
      <c r="G167" s="1496"/>
    </row>
    <row r="168" spans="1:11" ht="23.1" customHeight="1" x14ac:dyDescent="0.2">
      <c r="A168" s="1495" t="e">
        <f>VLOOKUP($D$165,'DATOS % '!$A$157:$D$160,4,FALSE)</f>
        <v>#N/A</v>
      </c>
      <c r="B168" s="1495"/>
      <c r="C168" s="1495"/>
      <c r="D168" s="1495"/>
      <c r="E168" s="1495" t="e">
        <f>VLOOKUP($G$165,'DATOS % '!A157:F160,6,FALSE)</f>
        <v>#N/A</v>
      </c>
      <c r="F168" s="1495"/>
      <c r="G168" s="1495"/>
    </row>
    <row r="169" spans="1:11" ht="23.1" customHeight="1" x14ac:dyDescent="0.2">
      <c r="A169" s="1495" t="e">
        <f>VLOOKUP($D$165,'DATOS % '!$A$157:$D$160,2,FALSE)</f>
        <v>#N/A</v>
      </c>
      <c r="B169" s="1495"/>
      <c r="C169" s="1495"/>
      <c r="D169" s="1495"/>
      <c r="E169" s="1495" t="e">
        <f>VLOOKUP($G$165,'DATOS % '!A157:F160,2,FALSE)</f>
        <v>#N/A</v>
      </c>
      <c r="F169" s="1495"/>
      <c r="G169" s="1495"/>
    </row>
    <row r="170" spans="1:11" ht="15" customHeight="1" x14ac:dyDescent="0.2">
      <c r="A170" s="637"/>
      <c r="B170" s="637"/>
      <c r="C170" s="637"/>
      <c r="D170" s="637"/>
      <c r="E170" s="637"/>
      <c r="F170" s="637"/>
      <c r="G170" s="637"/>
    </row>
    <row r="171" spans="1:11" ht="20.25" customHeight="1" x14ac:dyDescent="0.2"/>
    <row r="172" spans="1:11" ht="23.1" customHeight="1" x14ac:dyDescent="0.2">
      <c r="A172" s="1498" t="s">
        <v>248</v>
      </c>
      <c r="B172" s="1498"/>
      <c r="C172" s="962" t="s">
        <v>401</v>
      </c>
      <c r="D172" s="704"/>
      <c r="E172" s="1497" t="s">
        <v>417</v>
      </c>
      <c r="F172" s="1497"/>
      <c r="G172" s="957" t="s">
        <v>401</v>
      </c>
    </row>
    <row r="173" spans="1:11" ht="15" customHeight="1" x14ac:dyDescent="0.2">
      <c r="C173" s="61"/>
    </row>
    <row r="174" spans="1:11" ht="23.1" customHeight="1" x14ac:dyDescent="0.25">
      <c r="A174" s="1492" t="s">
        <v>320</v>
      </c>
      <c r="B174" s="1492"/>
      <c r="C174" s="1492"/>
      <c r="D174" s="1492"/>
      <c r="E174" s="1492"/>
      <c r="F174" s="1492"/>
      <c r="G174" s="1492"/>
      <c r="K174" s="859"/>
    </row>
  </sheetData>
  <sheetProtection password="CF5C" sheet="1" objects="1" scenarios="1"/>
  <mergeCells count="129">
    <mergeCell ref="A162:C162"/>
    <mergeCell ref="E111:F111"/>
    <mergeCell ref="A91:E91"/>
    <mergeCell ref="A93:D93"/>
    <mergeCell ref="A114:B114"/>
    <mergeCell ref="B150:G150"/>
    <mergeCell ref="A85:B85"/>
    <mergeCell ref="A86:B86"/>
    <mergeCell ref="A87:B87"/>
    <mergeCell ref="A94:B94"/>
    <mergeCell ref="A95:B95"/>
    <mergeCell ref="A89:G89"/>
    <mergeCell ref="A103:B103"/>
    <mergeCell ref="A104:B104"/>
    <mergeCell ref="A105:B105"/>
    <mergeCell ref="A106:B106"/>
    <mergeCell ref="A107:B107"/>
    <mergeCell ref="A97:B97"/>
    <mergeCell ref="A98:B98"/>
    <mergeCell ref="A96:B96"/>
    <mergeCell ref="A139:G139"/>
    <mergeCell ref="B156:G156"/>
    <mergeCell ref="B157:G157"/>
    <mergeCell ref="B158:G158"/>
    <mergeCell ref="A84:B84"/>
    <mergeCell ref="A64:B64"/>
    <mergeCell ref="A76:B76"/>
    <mergeCell ref="A77:B77"/>
    <mergeCell ref="A78:B78"/>
    <mergeCell ref="A79:B79"/>
    <mergeCell ref="E72:F72"/>
    <mergeCell ref="A73:C73"/>
    <mergeCell ref="A75:E75"/>
    <mergeCell ref="A80:B80"/>
    <mergeCell ref="A81:B81"/>
    <mergeCell ref="A82:B82"/>
    <mergeCell ref="A83:B83"/>
    <mergeCell ref="A67:G68"/>
    <mergeCell ref="A70:G70"/>
    <mergeCell ref="A19:C19"/>
    <mergeCell ref="D7:G7"/>
    <mergeCell ref="A6:C6"/>
    <mergeCell ref="A14:C14"/>
    <mergeCell ref="A15:C15"/>
    <mergeCell ref="A17:C17"/>
    <mergeCell ref="B34:C34"/>
    <mergeCell ref="D34:E34"/>
    <mergeCell ref="F34:G34"/>
    <mergeCell ref="D15:E15"/>
    <mergeCell ref="A26:C26"/>
    <mergeCell ref="D26:F26"/>
    <mergeCell ref="A23:G23"/>
    <mergeCell ref="A16:C16"/>
    <mergeCell ref="A8:C8"/>
    <mergeCell ref="D8:E8"/>
    <mergeCell ref="A20:C20"/>
    <mergeCell ref="D14:G14"/>
    <mergeCell ref="A61:B61"/>
    <mergeCell ref="A62:B62"/>
    <mergeCell ref="A63:B63"/>
    <mergeCell ref="A1:G1"/>
    <mergeCell ref="E3:F3"/>
    <mergeCell ref="A4:D4"/>
    <mergeCell ref="D6:G6"/>
    <mergeCell ref="A7:C7"/>
    <mergeCell ref="A53:G53"/>
    <mergeCell ref="D51:E51"/>
    <mergeCell ref="A51:C51"/>
    <mergeCell ref="A55:D55"/>
    <mergeCell ref="A59:B59"/>
    <mergeCell ref="A60:B60"/>
    <mergeCell ref="A10:C10"/>
    <mergeCell ref="E10:F10"/>
    <mergeCell ref="A18:C18"/>
    <mergeCell ref="D17:E17"/>
    <mergeCell ref="A12:G12"/>
    <mergeCell ref="D16:G16"/>
    <mergeCell ref="A42:G42"/>
    <mergeCell ref="A21:C21"/>
    <mergeCell ref="A58:B58"/>
    <mergeCell ref="A30:G30"/>
    <mergeCell ref="A149:G149"/>
    <mergeCell ref="A148:D148"/>
    <mergeCell ref="E146:F146"/>
    <mergeCell ref="A136:D136"/>
    <mergeCell ref="A137:F137"/>
    <mergeCell ref="A132:G132"/>
    <mergeCell ref="A144:G144"/>
    <mergeCell ref="A24:G24"/>
    <mergeCell ref="A65:C65"/>
    <mergeCell ref="A28:G28"/>
    <mergeCell ref="A37:G37"/>
    <mergeCell ref="A46:C46"/>
    <mergeCell ref="A49:C49"/>
    <mergeCell ref="D46:E46"/>
    <mergeCell ref="D47:E47"/>
    <mergeCell ref="D48:E48"/>
    <mergeCell ref="D49:E49"/>
    <mergeCell ref="A47:C47"/>
    <mergeCell ref="E41:F41"/>
    <mergeCell ref="A48:C48"/>
    <mergeCell ref="A44:G44"/>
    <mergeCell ref="A32:G32"/>
    <mergeCell ref="D50:E50"/>
    <mergeCell ref="A57:D57"/>
    <mergeCell ref="A99:B99"/>
    <mergeCell ref="A102:B102"/>
    <mergeCell ref="B151:G151"/>
    <mergeCell ref="B152:G152"/>
    <mergeCell ref="A112:B112"/>
    <mergeCell ref="A113:B113"/>
    <mergeCell ref="A174:G174"/>
    <mergeCell ref="A164:G164"/>
    <mergeCell ref="E166:G166"/>
    <mergeCell ref="A168:D168"/>
    <mergeCell ref="E168:G168"/>
    <mergeCell ref="A169:D169"/>
    <mergeCell ref="E169:G169"/>
    <mergeCell ref="A166:D166"/>
    <mergeCell ref="E167:G167"/>
    <mergeCell ref="E172:F172"/>
    <mergeCell ref="A167:D167"/>
    <mergeCell ref="A172:B172"/>
    <mergeCell ref="B159:G159"/>
    <mergeCell ref="B160:G160"/>
    <mergeCell ref="B153:G153"/>
    <mergeCell ref="B154:G154"/>
    <mergeCell ref="B155:G155"/>
    <mergeCell ref="A101:D101"/>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
CERTIFICADO DE CALIBRACIÓN DE INSTRUMENTOS DE PESAJE DE FUNCIONAMIENTO NO AUTOMÁTICO - IPFNA&amp;R&amp;"-,Negrita"&amp;12
             </oddHeader>
    <oddFooter>&amp;R&amp;8
  RT03-F15  Vr.13 (2021-05-24)
Página  &amp;P de &amp;N</oddFooter>
  </headerFooter>
  <rowBreaks count="3" manualBreakCount="3">
    <brk id="69" max="6" man="1"/>
    <brk id="108" max="6" man="1"/>
    <brk id="14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'DATOS % '!$A$157:$A$160</xm:f>
          </x14:formula1>
          <xm:sqref>G165 D165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7030A0"/>
  </sheetPr>
  <dimension ref="A1:R173"/>
  <sheetViews>
    <sheetView showGridLines="0" showRuler="0" showWhiteSpace="0" view="pageBreakPreview" zoomScaleNormal="66" zoomScaleSheetLayoutView="100" zoomScalePageLayoutView="85" workbookViewId="0">
      <selection activeCell="D169" sqref="D169"/>
    </sheetView>
  </sheetViews>
  <sheetFormatPr baseColWidth="10" defaultColWidth="11.42578125" defaultRowHeight="15" customHeight="1" x14ac:dyDescent="0.2"/>
  <cols>
    <col min="1" max="1" width="4.85546875" style="54" customWidth="1"/>
    <col min="2" max="2" width="20" style="54" customWidth="1"/>
    <col min="3" max="3" width="19.5703125" style="54" customWidth="1"/>
    <col min="4" max="6" width="17.7109375" style="54" customWidth="1"/>
    <col min="7" max="7" width="21.28515625" style="54" customWidth="1"/>
    <col min="8" max="14" width="11.42578125" style="54"/>
    <col min="15" max="15" width="7.140625" style="54" customWidth="1"/>
    <col min="16" max="18" width="11.42578125" style="54" hidden="1" customWidth="1"/>
    <col min="19" max="16384" width="11.42578125" style="54"/>
  </cols>
  <sheetData>
    <row r="1" spans="1:7" ht="125.1" customHeight="1" x14ac:dyDescent="0.2">
      <c r="A1" s="1510"/>
      <c r="B1" s="1510"/>
      <c r="C1" s="1510"/>
      <c r="D1" s="1510"/>
      <c r="E1" s="1510"/>
      <c r="F1" s="1510"/>
      <c r="G1" s="1510"/>
    </row>
    <row r="2" spans="1:7" ht="35.1" customHeight="1" x14ac:dyDescent="0.2">
      <c r="A2" s="621"/>
      <c r="B2" s="621"/>
      <c r="C2" s="621"/>
    </row>
    <row r="3" spans="1:7" ht="35.1" customHeight="1" x14ac:dyDescent="0.2">
      <c r="A3" s="621"/>
      <c r="B3" s="621"/>
      <c r="C3" s="621"/>
      <c r="E3" s="1507" t="s">
        <v>481</v>
      </c>
      <c r="F3" s="1507"/>
      <c r="G3" s="622" t="e">
        <f>'RT03-F12 %'!I6</f>
        <v>#N/A</v>
      </c>
    </row>
    <row r="4" spans="1:7" ht="20.100000000000001" customHeight="1" x14ac:dyDescent="0.2">
      <c r="A4" s="1506" t="s">
        <v>62</v>
      </c>
      <c r="B4" s="1506"/>
      <c r="C4" s="1506"/>
      <c r="D4" s="1506"/>
    </row>
    <row r="5" spans="1:7" ht="15.75" customHeight="1" x14ac:dyDescent="0.2">
      <c r="A5" s="623"/>
      <c r="B5" s="623"/>
      <c r="C5" s="624"/>
      <c r="D5" s="624"/>
      <c r="E5" s="624"/>
      <c r="F5" s="624"/>
      <c r="G5" s="624"/>
    </row>
    <row r="6" spans="1:7" ht="23.1" customHeight="1" x14ac:dyDescent="0.2">
      <c r="A6" s="1539" t="s">
        <v>237</v>
      </c>
      <c r="B6" s="1539"/>
      <c r="C6" s="1539"/>
      <c r="D6" s="1537" t="e">
        <f>'RT03-F12 %'!G6</f>
        <v>#N/A</v>
      </c>
      <c r="E6" s="1538"/>
      <c r="F6" s="1538"/>
      <c r="G6" s="1538"/>
    </row>
    <row r="7" spans="1:7" ht="23.1" customHeight="1" x14ac:dyDescent="0.2">
      <c r="A7" s="1539" t="s">
        <v>63</v>
      </c>
      <c r="B7" s="1539"/>
      <c r="C7" s="1539"/>
      <c r="D7" s="1551" t="e">
        <f>'RT03-F12 %'!H6</f>
        <v>#N/A</v>
      </c>
      <c r="E7" s="1551"/>
      <c r="F7" s="1551"/>
      <c r="G7" s="1551"/>
    </row>
    <row r="8" spans="1:7" ht="23.1" customHeight="1" x14ac:dyDescent="0.2">
      <c r="A8" s="1539" t="s">
        <v>64</v>
      </c>
      <c r="B8" s="1539"/>
      <c r="C8" s="1539"/>
      <c r="D8" s="1537" t="e">
        <f>'RT03-F12 %'!B6</f>
        <v>#N/A</v>
      </c>
      <c r="E8" s="1538"/>
      <c r="F8" s="806"/>
      <c r="G8" s="806"/>
    </row>
    <row r="9" spans="1:7" ht="18" customHeight="1" x14ac:dyDescent="0.2">
      <c r="A9" s="802"/>
      <c r="B9" s="802"/>
      <c r="C9" s="802"/>
      <c r="D9" s="804"/>
      <c r="E9" s="802"/>
      <c r="F9" s="625"/>
      <c r="G9" s="625"/>
    </row>
    <row r="10" spans="1:7" ht="23.1" customHeight="1" x14ac:dyDescent="0.2">
      <c r="A10" s="1539" t="s">
        <v>65</v>
      </c>
      <c r="B10" s="1539"/>
      <c r="C10" s="1539"/>
      <c r="D10" s="626" t="e">
        <f>'RT03-F12 %'!C6</f>
        <v>#N/A</v>
      </c>
      <c r="E10" s="1547" t="s">
        <v>67</v>
      </c>
      <c r="F10" s="1547"/>
      <c r="G10" s="626" t="e">
        <f>'RT03-F12 %'!F6</f>
        <v>#N/A</v>
      </c>
    </row>
    <row r="11" spans="1:7" ht="15" customHeight="1" x14ac:dyDescent="0.2">
      <c r="A11" s="802"/>
      <c r="B11" s="802"/>
      <c r="C11" s="802"/>
      <c r="D11" s="626"/>
      <c r="E11" s="803"/>
      <c r="F11" s="803"/>
      <c r="G11" s="626"/>
    </row>
    <row r="12" spans="1:7" ht="23.1" customHeight="1" x14ac:dyDescent="0.2">
      <c r="A12" s="1506" t="s">
        <v>268</v>
      </c>
      <c r="B12" s="1506"/>
      <c r="C12" s="1506"/>
      <c r="D12" s="1506"/>
      <c r="E12" s="1506"/>
      <c r="F12" s="1506"/>
      <c r="G12" s="1506"/>
    </row>
    <row r="13" spans="1:7" ht="12" customHeight="1" x14ac:dyDescent="0.2">
      <c r="A13" s="802"/>
      <c r="B13" s="802"/>
      <c r="C13" s="802"/>
      <c r="D13" s="802"/>
      <c r="E13" s="802"/>
      <c r="F13" s="625"/>
      <c r="G13" s="625"/>
    </row>
    <row r="14" spans="1:7" ht="23.1" customHeight="1" x14ac:dyDescent="0.2">
      <c r="A14" s="1539" t="s">
        <v>286</v>
      </c>
      <c r="B14" s="1539"/>
      <c r="C14" s="1539"/>
      <c r="D14" s="1555" t="s">
        <v>540</v>
      </c>
      <c r="E14" s="1555"/>
      <c r="F14" s="1555"/>
      <c r="G14" s="1555"/>
    </row>
    <row r="15" spans="1:7" ht="23.1" customHeight="1" x14ac:dyDescent="0.2">
      <c r="A15" s="1539" t="s">
        <v>287</v>
      </c>
      <c r="B15" s="1539"/>
      <c r="C15" s="1539"/>
      <c r="D15" s="1539" t="e">
        <f>'RT03-F12 %'!D9</f>
        <v>#N/A</v>
      </c>
      <c r="E15" s="1539"/>
      <c r="F15" s="625"/>
      <c r="G15" s="625"/>
    </row>
    <row r="16" spans="1:7" ht="23.1" customHeight="1" x14ac:dyDescent="0.2">
      <c r="A16" s="1539" t="s">
        <v>387</v>
      </c>
      <c r="B16" s="1539"/>
      <c r="C16" s="1539"/>
      <c r="D16" s="1539" t="e">
        <f>'RT03-F12 %'!D11</f>
        <v>#N/A</v>
      </c>
      <c r="E16" s="1539"/>
      <c r="F16" s="1539"/>
      <c r="G16" s="1539"/>
    </row>
    <row r="17" spans="1:7" ht="23.1" customHeight="1" x14ac:dyDescent="0.2">
      <c r="A17" s="1539" t="s">
        <v>288</v>
      </c>
      <c r="B17" s="1539"/>
      <c r="C17" s="1539"/>
      <c r="D17" s="1539" t="e">
        <f>'RT03-F12 %'!D10</f>
        <v>#N/A</v>
      </c>
      <c r="E17" s="1539"/>
      <c r="F17" s="625"/>
      <c r="G17" s="625"/>
    </row>
    <row r="18" spans="1:7" ht="23.1" customHeight="1" x14ac:dyDescent="0.2">
      <c r="A18" s="1539" t="s">
        <v>289</v>
      </c>
      <c r="B18" s="1539"/>
      <c r="C18" s="1539"/>
      <c r="D18" s="627" t="e">
        <f>'RT03-F12 %'!D12</f>
        <v>#N/A</v>
      </c>
      <c r="E18" s="802"/>
      <c r="F18" s="628"/>
      <c r="G18" s="802"/>
    </row>
    <row r="19" spans="1:7" ht="23.1" customHeight="1" x14ac:dyDescent="0.2">
      <c r="A19" s="1549" t="s">
        <v>290</v>
      </c>
      <c r="B19" s="1549"/>
      <c r="C19" s="1549"/>
      <c r="D19" s="629" t="e">
        <f>'RT03-F12 %'!D13</f>
        <v>#N/A</v>
      </c>
      <c r="E19" s="807"/>
      <c r="F19" s="807"/>
      <c r="G19" s="807"/>
    </row>
    <row r="20" spans="1:7" ht="23.1" customHeight="1" x14ac:dyDescent="0.2">
      <c r="A20" s="1549" t="s">
        <v>291</v>
      </c>
      <c r="B20" s="1549"/>
      <c r="C20" s="1549"/>
      <c r="D20" s="630" t="e">
        <f>'RT03-F12 %'!D14</f>
        <v>#N/A</v>
      </c>
      <c r="E20" s="807"/>
      <c r="F20" s="807"/>
      <c r="G20" s="807"/>
    </row>
    <row r="21" spans="1:7" ht="23.1" customHeight="1" x14ac:dyDescent="0.2">
      <c r="A21" s="1549" t="s">
        <v>292</v>
      </c>
      <c r="B21" s="1549"/>
      <c r="C21" s="1549"/>
      <c r="D21" s="629" t="e">
        <f>'RT03-F12 %'!D15</f>
        <v>#N/A</v>
      </c>
      <c r="E21" s="807"/>
      <c r="F21" s="807"/>
      <c r="G21" s="807"/>
    </row>
    <row r="22" spans="1:7" ht="23.1" customHeight="1" x14ac:dyDescent="0.2"/>
    <row r="23" spans="1:7" ht="23.1" customHeight="1" x14ac:dyDescent="0.2">
      <c r="A23" s="1506" t="s">
        <v>269</v>
      </c>
      <c r="B23" s="1506"/>
      <c r="C23" s="1506"/>
      <c r="D23" s="1506"/>
      <c r="E23" s="1506"/>
      <c r="F23" s="1506"/>
      <c r="G23" s="1506"/>
    </row>
    <row r="24" spans="1:7" ht="23.1" customHeight="1" x14ac:dyDescent="0.2">
      <c r="A24" s="1511" t="e">
        <f>'RT03-F12 %'!E6</f>
        <v>#N/A</v>
      </c>
      <c r="B24" s="1511"/>
      <c r="C24" s="1511"/>
      <c r="D24" s="1511"/>
      <c r="E24" s="1511"/>
      <c r="F24" s="1511"/>
      <c r="G24" s="1511"/>
    </row>
    <row r="25" spans="1:7" ht="23.1" customHeight="1" x14ac:dyDescent="0.2">
      <c r="A25" s="631"/>
      <c r="B25" s="631"/>
      <c r="C25" s="624"/>
      <c r="D25" s="631"/>
      <c r="E25" s="624"/>
      <c r="F25" s="632"/>
      <c r="G25" s="632"/>
    </row>
    <row r="26" spans="1:7" ht="23.1" customHeight="1" x14ac:dyDescent="0.2">
      <c r="A26" s="1506" t="s">
        <v>270</v>
      </c>
      <c r="B26" s="1506"/>
      <c r="C26" s="1506"/>
      <c r="D26" s="1554" t="e">
        <f>'RT03-F12 %'!D6</f>
        <v>#N/A</v>
      </c>
      <c r="E26" s="1554"/>
      <c r="F26" s="1554"/>
      <c r="G26" s="632"/>
    </row>
    <row r="27" spans="1:7" ht="23.1" customHeight="1" x14ac:dyDescent="0.2">
      <c r="E27" s="633"/>
      <c r="F27" s="624"/>
      <c r="G27" s="624"/>
    </row>
    <row r="28" spans="1:7" ht="23.1" customHeight="1" x14ac:dyDescent="0.2">
      <c r="A28" s="1515" t="s">
        <v>271</v>
      </c>
      <c r="B28" s="1515"/>
      <c r="C28" s="1515"/>
      <c r="D28" s="1515"/>
      <c r="E28" s="1515"/>
      <c r="F28" s="1515"/>
      <c r="G28" s="1515"/>
    </row>
    <row r="29" spans="1:7" ht="15" customHeight="1" x14ac:dyDescent="0.2">
      <c r="A29" s="634"/>
      <c r="B29" s="634"/>
      <c r="C29" s="634"/>
      <c r="D29" s="634"/>
      <c r="E29" s="633"/>
      <c r="F29" s="624"/>
      <c r="G29" s="624"/>
    </row>
    <row r="30" spans="1:7" ht="33" customHeight="1" x14ac:dyDescent="0.2">
      <c r="A30" s="1550" t="s">
        <v>293</v>
      </c>
      <c r="B30" s="1550"/>
      <c r="C30" s="1550"/>
      <c r="D30" s="1550"/>
      <c r="E30" s="1550"/>
      <c r="F30" s="1550"/>
      <c r="G30" s="1550"/>
    </row>
    <row r="31" spans="1:7" ht="25.5" customHeight="1" x14ac:dyDescent="0.2">
      <c r="A31" s="635"/>
      <c r="B31" s="635"/>
      <c r="C31" s="635"/>
      <c r="D31" s="635"/>
      <c r="E31" s="635"/>
      <c r="F31" s="635"/>
      <c r="G31" s="635"/>
    </row>
    <row r="32" spans="1:7" ht="23.1" customHeight="1" x14ac:dyDescent="0.2">
      <c r="A32" s="1506" t="s">
        <v>351</v>
      </c>
      <c r="B32" s="1506"/>
      <c r="C32" s="1506"/>
      <c r="D32" s="1506"/>
      <c r="E32" s="1506"/>
      <c r="F32" s="1506"/>
      <c r="G32" s="1506"/>
    </row>
    <row r="33" spans="1:7" ht="8.1" customHeight="1" thickBot="1" x14ac:dyDescent="0.25">
      <c r="A33" s="794"/>
      <c r="B33" s="794"/>
      <c r="C33" s="794"/>
      <c r="D33" s="794"/>
      <c r="E33" s="794"/>
      <c r="G33" s="636"/>
    </row>
    <row r="34" spans="1:7" s="55" customFormat="1" ht="33" customHeight="1" thickBot="1" x14ac:dyDescent="0.25">
      <c r="A34" s="808"/>
      <c r="B34" s="1552" t="s">
        <v>486</v>
      </c>
      <c r="C34" s="1553"/>
      <c r="D34" s="1552" t="s">
        <v>538</v>
      </c>
      <c r="E34" s="1553"/>
      <c r="F34" s="1552" t="s">
        <v>539</v>
      </c>
      <c r="G34" s="1553"/>
    </row>
    <row r="35" spans="1:7" s="55" customFormat="1" ht="33" customHeight="1" thickBot="1" x14ac:dyDescent="0.25">
      <c r="A35" s="809"/>
      <c r="B35" s="1007" t="s">
        <v>516</v>
      </c>
      <c r="C35" s="1007" t="s">
        <v>517</v>
      </c>
      <c r="D35" s="1007" t="s">
        <v>516</v>
      </c>
      <c r="E35" s="1008" t="s">
        <v>517</v>
      </c>
      <c r="F35" s="1007" t="s">
        <v>516</v>
      </c>
      <c r="G35" s="1009" t="s">
        <v>517</v>
      </c>
    </row>
    <row r="36" spans="1:7" s="55" customFormat="1" ht="33" customHeight="1" thickBot="1" x14ac:dyDescent="0.25">
      <c r="A36" s="809"/>
      <c r="B36" s="1010" t="e">
        <f>'Max y MIN %'!C10</f>
        <v>#N/A</v>
      </c>
      <c r="C36" s="1010" t="e">
        <f>'Max y MIN %'!C9</f>
        <v>#N/A</v>
      </c>
      <c r="D36" s="1010" t="e">
        <f>'Max y MIN %'!D10</f>
        <v>#N/A</v>
      </c>
      <c r="E36" s="1011" t="e">
        <f>'Max y MIN %'!D9</f>
        <v>#N/A</v>
      </c>
      <c r="F36" s="1010" t="e">
        <f>'Max y MIN %'!E10</f>
        <v>#N/A</v>
      </c>
      <c r="G36" s="1012" t="e">
        <f>'Max y MIN %'!E9</f>
        <v>#N/A</v>
      </c>
    </row>
    <row r="37" spans="1:7" ht="27.75" customHeight="1" x14ac:dyDescent="0.2">
      <c r="A37" s="1581" t="s">
        <v>483</v>
      </c>
      <c r="B37" s="1581"/>
      <c r="C37" s="1581"/>
      <c r="D37" s="1581"/>
      <c r="E37" s="1581"/>
      <c r="F37" s="1581"/>
      <c r="G37" s="1581"/>
    </row>
    <row r="38" spans="1:7" ht="125.1" customHeight="1" x14ac:dyDescent="0.2"/>
    <row r="39" spans="1:7" ht="35.1" customHeight="1" x14ac:dyDescent="0.2">
      <c r="A39" s="796"/>
      <c r="B39" s="796"/>
      <c r="C39" s="796"/>
      <c r="D39" s="796"/>
    </row>
    <row r="40" spans="1:7" ht="35.1" customHeight="1" x14ac:dyDescent="0.2">
      <c r="A40" s="796"/>
      <c r="B40" s="796"/>
      <c r="C40" s="796"/>
      <c r="D40" s="796"/>
      <c r="E40" s="1507" t="s">
        <v>481</v>
      </c>
      <c r="F40" s="1507"/>
      <c r="G40" s="622" t="e">
        <f>G3</f>
        <v>#N/A</v>
      </c>
    </row>
    <row r="41" spans="1:7" ht="23.1" customHeight="1" x14ac:dyDescent="0.2">
      <c r="A41" s="1540" t="s">
        <v>281</v>
      </c>
      <c r="B41" s="1540"/>
      <c r="C41" s="1540"/>
      <c r="D41" s="1540"/>
      <c r="E41" s="1540"/>
      <c r="F41" s="1540"/>
      <c r="G41" s="1540"/>
    </row>
    <row r="42" spans="1:7" ht="12" customHeight="1" x14ac:dyDescent="0.2">
      <c r="A42" s="800"/>
      <c r="B42" s="800"/>
      <c r="C42" s="800"/>
      <c r="D42" s="800"/>
      <c r="E42" s="800"/>
      <c r="F42" s="800"/>
      <c r="G42" s="800"/>
    </row>
    <row r="43" spans="1:7" ht="48" customHeight="1" x14ac:dyDescent="0.2">
      <c r="A43" s="1487" t="s">
        <v>272</v>
      </c>
      <c r="B43" s="1487"/>
      <c r="C43" s="1487"/>
      <c r="D43" s="1487"/>
      <c r="E43" s="1487"/>
      <c r="F43" s="1487"/>
      <c r="G43" s="1487"/>
    </row>
    <row r="44" spans="1:7" ht="12" customHeight="1" thickBot="1" x14ac:dyDescent="0.25">
      <c r="A44" s="639"/>
      <c r="B44" s="639"/>
      <c r="C44" s="639"/>
      <c r="D44" s="639"/>
      <c r="E44" s="639"/>
      <c r="F44" s="639"/>
      <c r="G44" s="639"/>
    </row>
    <row r="45" spans="1:7" ht="30" customHeight="1" thickBot="1" x14ac:dyDescent="0.25">
      <c r="A45" s="1517" t="s">
        <v>283</v>
      </c>
      <c r="B45" s="1518"/>
      <c r="C45" s="1519"/>
      <c r="D45" s="1523" t="e">
        <f>'RT03-F12 %'!I11</f>
        <v>#N/A</v>
      </c>
      <c r="E45" s="1524"/>
      <c r="F45" s="796"/>
      <c r="G45" s="796"/>
    </row>
    <row r="46" spans="1:7" ht="30" customHeight="1" thickBot="1" x14ac:dyDescent="0.25">
      <c r="A46" s="1517" t="s">
        <v>282</v>
      </c>
      <c r="B46" s="1518"/>
      <c r="C46" s="1519"/>
      <c r="D46" s="1525" t="s">
        <v>402</v>
      </c>
      <c r="E46" s="1526"/>
      <c r="F46" s="624"/>
      <c r="G46" s="624"/>
    </row>
    <row r="47" spans="1:7" ht="30" customHeight="1" thickBot="1" x14ac:dyDescent="0.25">
      <c r="A47" s="1517" t="s">
        <v>285</v>
      </c>
      <c r="B47" s="1518"/>
      <c r="C47" s="1519"/>
      <c r="D47" s="1527" t="e">
        <f>'RT03-F12 %'!I12</f>
        <v>#N/A</v>
      </c>
      <c r="E47" s="1528"/>
      <c r="F47" s="624"/>
      <c r="G47" s="624"/>
    </row>
    <row r="48" spans="1:7" ht="30" customHeight="1" thickBot="1" x14ac:dyDescent="0.25">
      <c r="A48" s="1520" t="s">
        <v>177</v>
      </c>
      <c r="B48" s="1521"/>
      <c r="C48" s="1522"/>
      <c r="D48" s="1529" t="e">
        <f>'RT03-F12 %'!I13</f>
        <v>#N/A</v>
      </c>
      <c r="E48" s="1530"/>
      <c r="F48" s="624"/>
      <c r="G48" s="624"/>
    </row>
    <row r="49" spans="1:7" ht="30" customHeight="1" thickBot="1" x14ac:dyDescent="0.25">
      <c r="A49" s="640" t="s">
        <v>232</v>
      </c>
      <c r="B49" s="640"/>
      <c r="C49" s="641"/>
      <c r="D49" s="1529" t="e">
        <f>'RT03-F12 %'!I15</f>
        <v>#N/A</v>
      </c>
      <c r="E49" s="1530"/>
      <c r="F49" s="624"/>
      <c r="G49" s="624"/>
    </row>
    <row r="50" spans="1:7" ht="30" customHeight="1" thickBot="1" x14ac:dyDescent="0.25">
      <c r="A50" s="1517" t="s">
        <v>284</v>
      </c>
      <c r="B50" s="1518"/>
      <c r="C50" s="1519"/>
      <c r="D50" s="1541"/>
      <c r="E50" s="1542"/>
      <c r="F50" s="624"/>
      <c r="G50" s="624"/>
    </row>
    <row r="51" spans="1:7" ht="30" customHeight="1" x14ac:dyDescent="0.2">
      <c r="A51" s="794"/>
      <c r="B51" s="794"/>
      <c r="C51" s="794"/>
      <c r="D51" s="802"/>
      <c r="E51" s="802"/>
      <c r="F51" s="624"/>
      <c r="G51" s="624"/>
    </row>
    <row r="52" spans="1:7" ht="23.1" customHeight="1" x14ac:dyDescent="0.2">
      <c r="A52" s="1540" t="s">
        <v>273</v>
      </c>
      <c r="B52" s="1540"/>
      <c r="C52" s="1540"/>
      <c r="D52" s="1540"/>
      <c r="E52" s="1540"/>
      <c r="F52" s="1540"/>
      <c r="G52" s="1540"/>
    </row>
    <row r="53" spans="1:7" ht="12" customHeight="1" x14ac:dyDescent="0.2">
      <c r="A53" s="796"/>
      <c r="B53" s="796"/>
      <c r="C53" s="796"/>
      <c r="D53" s="796"/>
      <c r="E53" s="796"/>
      <c r="F53" s="796"/>
      <c r="G53" s="796"/>
    </row>
    <row r="54" spans="1:7" ht="20.100000000000001" customHeight="1" x14ac:dyDescent="0.2">
      <c r="A54" s="1508" t="s">
        <v>69</v>
      </c>
      <c r="B54" s="1508"/>
      <c r="C54" s="1508"/>
      <c r="D54" s="1508"/>
      <c r="E54" s="796"/>
      <c r="F54" s="642"/>
      <c r="G54" s="796"/>
    </row>
    <row r="55" spans="1:7" ht="12" customHeight="1" thickBot="1" x14ac:dyDescent="0.25">
      <c r="A55" s="796"/>
      <c r="B55" s="796"/>
      <c r="C55" s="796"/>
      <c r="D55" s="796"/>
      <c r="E55" s="624"/>
      <c r="F55" s="624"/>
      <c r="G55" s="624"/>
    </row>
    <row r="56" spans="1:7" ht="30" customHeight="1" thickBot="1" x14ac:dyDescent="0.25">
      <c r="A56" s="1531" t="s">
        <v>243</v>
      </c>
      <c r="B56" s="1532"/>
      <c r="C56" s="1533"/>
      <c r="D56" s="1534"/>
      <c r="E56" s="796"/>
      <c r="F56" s="796"/>
      <c r="G56" s="796"/>
    </row>
    <row r="57" spans="1:7" ht="30" customHeight="1" thickBot="1" x14ac:dyDescent="0.25">
      <c r="A57" s="1543" t="str">
        <f>'RT03-F12 %'!C34</f>
        <v>Carga</v>
      </c>
      <c r="B57" s="1544"/>
      <c r="C57" s="643">
        <f>'RT03-F12 %'!E34</f>
        <v>0</v>
      </c>
      <c r="D57" s="801" t="str">
        <f>'RT03-F12 %'!D34</f>
        <v>(g)</v>
      </c>
      <c r="E57" s="796"/>
      <c r="F57" s="644" t="s">
        <v>68</v>
      </c>
      <c r="G57" s="796"/>
    </row>
    <row r="58" spans="1:7" ht="30" customHeight="1" thickBot="1" x14ac:dyDescent="0.25">
      <c r="A58" s="1543" t="str">
        <f>'RT03-F12 %'!B35</f>
        <v>Posición</v>
      </c>
      <c r="B58" s="1544"/>
      <c r="C58" s="645" t="str">
        <f>'RT03-F12 %'!B36</f>
        <v>Indicación (g)</v>
      </c>
      <c r="D58" s="646" t="s">
        <v>95</v>
      </c>
      <c r="E58" s="796"/>
      <c r="F58" s="796"/>
      <c r="G58" s="796"/>
    </row>
    <row r="59" spans="1:7" ht="30" customHeight="1" x14ac:dyDescent="0.2">
      <c r="A59" s="1545">
        <f>'RT03-F12 %'!C35</f>
        <v>1</v>
      </c>
      <c r="B59" s="1546"/>
      <c r="C59" s="647">
        <f>'RT03-F12 %'!C36</f>
        <v>0</v>
      </c>
      <c r="D59" s="648">
        <f>'RT03-F12 %'!C37</f>
        <v>0</v>
      </c>
      <c r="E59" s="796"/>
      <c r="G59" s="796"/>
    </row>
    <row r="60" spans="1:7" ht="30" customHeight="1" x14ac:dyDescent="0.2">
      <c r="A60" s="1535">
        <f>'RT03-F12 %'!D35</f>
        <v>2</v>
      </c>
      <c r="B60" s="1536"/>
      <c r="C60" s="649">
        <f>'RT03-F12 %'!D36</f>
        <v>0</v>
      </c>
      <c r="D60" s="650">
        <f>'RT03-F12 %'!D37</f>
        <v>0</v>
      </c>
      <c r="E60" s="796"/>
      <c r="F60" s="796"/>
      <c r="G60" s="796"/>
    </row>
    <row r="61" spans="1:7" ht="30" customHeight="1" x14ac:dyDescent="0.2">
      <c r="A61" s="1535">
        <f>'RT03-F12 %'!E35</f>
        <v>3</v>
      </c>
      <c r="B61" s="1536"/>
      <c r="C61" s="651">
        <f>'RT03-F12 %'!E36</f>
        <v>0</v>
      </c>
      <c r="D61" s="650">
        <f>'RT03-F12 %'!E37</f>
        <v>0</v>
      </c>
      <c r="E61" s="796"/>
      <c r="F61" s="796"/>
      <c r="G61" s="796"/>
    </row>
    <row r="62" spans="1:7" ht="30" customHeight="1" x14ac:dyDescent="0.2">
      <c r="A62" s="1535">
        <f>'RT03-F12 %'!F35</f>
        <v>4</v>
      </c>
      <c r="B62" s="1536"/>
      <c r="C62" s="651">
        <f>'RT03-F12 %'!F36</f>
        <v>0</v>
      </c>
      <c r="D62" s="650">
        <f>'RT03-F12 %'!F37</f>
        <v>0</v>
      </c>
      <c r="E62" s="796"/>
      <c r="F62" s="796"/>
      <c r="G62" s="796"/>
    </row>
    <row r="63" spans="1:7" ht="30" customHeight="1" thickBot="1" x14ac:dyDescent="0.25">
      <c r="A63" s="1556">
        <f>'RT03-F12 %'!G35</f>
        <v>5</v>
      </c>
      <c r="B63" s="1557"/>
      <c r="C63" s="649">
        <f>'RT03-F12 %'!G36</f>
        <v>0</v>
      </c>
      <c r="D63" s="652">
        <f>'RT03-F12 %'!G37</f>
        <v>0</v>
      </c>
      <c r="E63" s="796"/>
      <c r="F63" s="796"/>
      <c r="G63" s="796"/>
    </row>
    <row r="64" spans="1:7" ht="30" customHeight="1" thickBot="1" x14ac:dyDescent="0.25">
      <c r="A64" s="1591" t="s">
        <v>274</v>
      </c>
      <c r="B64" s="1592"/>
      <c r="C64" s="1593"/>
      <c r="D64" s="638">
        <f>'RT03-F12 %'!C39/1000</f>
        <v>0</v>
      </c>
      <c r="E64" s="796"/>
      <c r="F64" s="796"/>
      <c r="G64" s="796"/>
    </row>
    <row r="65" spans="1:7" ht="17.100000000000001" customHeight="1" x14ac:dyDescent="0.2">
      <c r="A65" s="653"/>
      <c r="B65" s="653"/>
      <c r="C65" s="653"/>
      <c r="D65" s="654"/>
      <c r="E65" s="796"/>
      <c r="F65" s="796"/>
      <c r="G65" s="796"/>
    </row>
    <row r="66" spans="1:7" ht="12" customHeight="1" x14ac:dyDescent="0.2">
      <c r="A66" s="1487" t="s">
        <v>403</v>
      </c>
      <c r="B66" s="1487"/>
      <c r="C66" s="1487"/>
      <c r="D66" s="1487"/>
      <c r="E66" s="1487"/>
      <c r="F66" s="1487"/>
      <c r="G66" s="1487"/>
    </row>
    <row r="67" spans="1:7" ht="29.1" customHeight="1" x14ac:dyDescent="0.2">
      <c r="A67" s="1487"/>
      <c r="B67" s="1487"/>
      <c r="C67" s="1487"/>
      <c r="D67" s="1487"/>
      <c r="E67" s="1487"/>
      <c r="F67" s="1487"/>
      <c r="G67" s="1487"/>
    </row>
    <row r="68" spans="1:7" ht="20.100000000000001" customHeight="1" x14ac:dyDescent="0.2">
      <c r="A68" s="655"/>
      <c r="B68" s="655"/>
      <c r="C68" s="655"/>
      <c r="D68" s="655"/>
      <c r="E68" s="655"/>
      <c r="F68" s="655"/>
      <c r="G68" s="655"/>
    </row>
    <row r="69" spans="1:7" ht="125.1" customHeight="1" x14ac:dyDescent="0.2">
      <c r="A69" s="1561"/>
      <c r="B69" s="1561"/>
      <c r="C69" s="1561"/>
      <c r="D69" s="1561"/>
      <c r="E69" s="1561"/>
      <c r="F69" s="1561"/>
      <c r="G69" s="1561"/>
    </row>
    <row r="70" spans="1:7" ht="35.1" customHeight="1" x14ac:dyDescent="0.2">
      <c r="A70" s="805"/>
      <c r="B70" s="805"/>
      <c r="C70" s="805"/>
      <c r="D70" s="805"/>
      <c r="E70" s="805"/>
      <c r="F70" s="805"/>
      <c r="G70" s="805"/>
    </row>
    <row r="71" spans="1:7" ht="35.1" customHeight="1" x14ac:dyDescent="0.2">
      <c r="A71" s="656"/>
      <c r="B71" s="656"/>
      <c r="C71" s="656"/>
      <c r="D71" s="656"/>
      <c r="E71" s="1507" t="s">
        <v>481</v>
      </c>
      <c r="F71" s="1507"/>
      <c r="G71" s="622" t="e">
        <f>G3</f>
        <v>#N/A</v>
      </c>
    </row>
    <row r="72" spans="1:7" ht="23.1" customHeight="1" x14ac:dyDescent="0.2">
      <c r="A72" s="1508" t="s">
        <v>71</v>
      </c>
      <c r="B72" s="1508"/>
      <c r="C72" s="1508"/>
      <c r="F72" s="633"/>
      <c r="G72" s="633"/>
    </row>
    <row r="73" spans="1:7" ht="12" customHeight="1" thickBot="1" x14ac:dyDescent="0.25">
      <c r="F73" s="633"/>
    </row>
    <row r="74" spans="1:7" ht="15" customHeight="1" thickBot="1" x14ac:dyDescent="0.25">
      <c r="A74" s="1582" t="s">
        <v>244</v>
      </c>
      <c r="B74" s="1583"/>
      <c r="C74" s="1583"/>
      <c r="D74" s="1583"/>
      <c r="E74" s="1584"/>
      <c r="F74" s="633"/>
      <c r="G74" s="633"/>
    </row>
    <row r="75" spans="1:7" ht="20.100000000000001" customHeight="1" thickBot="1" x14ac:dyDescent="0.25">
      <c r="A75" s="1585" t="str">
        <f>'RT03-F12 %'!A43</f>
        <v>Cargas (g)</v>
      </c>
      <c r="B75" s="1586"/>
      <c r="C75" s="643">
        <f>'RT03-F12 %'!A44</f>
        <v>0</v>
      </c>
      <c r="D75" s="643">
        <f>'RT03-F12 %'!A45</f>
        <v>0</v>
      </c>
      <c r="E75" s="657">
        <f>'RT03-F12 %'!A46</f>
        <v>0</v>
      </c>
      <c r="F75" s="633"/>
      <c r="G75" s="633"/>
    </row>
    <row r="76" spans="1:7" ht="30" customHeight="1" thickBot="1" x14ac:dyDescent="0.25">
      <c r="A76" s="1582" t="s">
        <v>246</v>
      </c>
      <c r="B76" s="1584"/>
      <c r="C76" s="658" t="s">
        <v>70</v>
      </c>
      <c r="D76" s="658" t="s">
        <v>70</v>
      </c>
      <c r="E76" s="658" t="s">
        <v>70</v>
      </c>
      <c r="F76" s="633"/>
      <c r="G76" s="633"/>
    </row>
    <row r="77" spans="1:7" ht="20.100000000000001" customHeight="1" x14ac:dyDescent="0.2">
      <c r="A77" s="1587">
        <f>'RT03-F12 %'!B43</f>
        <v>1</v>
      </c>
      <c r="B77" s="1588"/>
      <c r="C77" s="659">
        <f>'RT03-F12 %'!B44</f>
        <v>0</v>
      </c>
      <c r="D77" s="659">
        <f>'RT03-F12 %'!B45</f>
        <v>0</v>
      </c>
      <c r="E77" s="660">
        <f>'RT03-F12 %'!B46</f>
        <v>0</v>
      </c>
      <c r="F77" s="633"/>
      <c r="G77" s="633"/>
    </row>
    <row r="78" spans="1:7" ht="20.100000000000001" customHeight="1" x14ac:dyDescent="0.2">
      <c r="A78" s="1589">
        <f>'RT03-F12 %'!C43</f>
        <v>2</v>
      </c>
      <c r="B78" s="1590"/>
      <c r="C78" s="661">
        <f>'RT03-F12 %'!C44</f>
        <v>0</v>
      </c>
      <c r="D78" s="661">
        <f>'RT03-F12 %'!C45</f>
        <v>0</v>
      </c>
      <c r="E78" s="662">
        <f>'RT03-F12 %'!C46</f>
        <v>0</v>
      </c>
      <c r="F78" s="633"/>
      <c r="G78" s="633"/>
    </row>
    <row r="79" spans="1:7" ht="20.100000000000001" customHeight="1" x14ac:dyDescent="0.2">
      <c r="A79" s="1589">
        <f>'RT03-F12 %'!D43</f>
        <v>3</v>
      </c>
      <c r="B79" s="1590"/>
      <c r="C79" s="661">
        <f>'RT03-F12 %'!D44</f>
        <v>0</v>
      </c>
      <c r="D79" s="661">
        <f>'RT03-F12 %'!D45</f>
        <v>0</v>
      </c>
      <c r="E79" s="662">
        <f>'RT03-F12 %'!D46</f>
        <v>0</v>
      </c>
      <c r="F79" s="633"/>
      <c r="G79" s="633"/>
    </row>
    <row r="80" spans="1:7" ht="20.100000000000001" customHeight="1" x14ac:dyDescent="0.2">
      <c r="A80" s="1589">
        <f>'RT03-F12 %'!E43</f>
        <v>4</v>
      </c>
      <c r="B80" s="1590"/>
      <c r="C80" s="661">
        <f>'RT03-F12 %'!E44</f>
        <v>0</v>
      </c>
      <c r="D80" s="661">
        <f>'RT03-F12 %'!E45</f>
        <v>0</v>
      </c>
      <c r="E80" s="662">
        <f>'RT03-F12 %'!E46</f>
        <v>0</v>
      </c>
      <c r="F80" s="633"/>
      <c r="G80" s="633"/>
    </row>
    <row r="81" spans="1:7" ht="20.100000000000001" customHeight="1" x14ac:dyDescent="0.2">
      <c r="A81" s="1589">
        <f>'RT03-F12 %'!F43</f>
        <v>5</v>
      </c>
      <c r="B81" s="1590"/>
      <c r="C81" s="661">
        <f>'RT03-F12 %'!F44</f>
        <v>0</v>
      </c>
      <c r="D81" s="661">
        <f>'RT03-F12 %'!F45</f>
        <v>0</v>
      </c>
      <c r="E81" s="662">
        <f>'RT03-F12 %'!F46</f>
        <v>0</v>
      </c>
      <c r="F81" s="633"/>
      <c r="G81" s="633"/>
    </row>
    <row r="82" spans="1:7" ht="20.100000000000001" customHeight="1" x14ac:dyDescent="0.2">
      <c r="A82" s="1589">
        <f>'RT03-F12 %'!G43</f>
        <v>6</v>
      </c>
      <c r="B82" s="1590"/>
      <c r="C82" s="661">
        <f>'RT03-F12 %'!G44</f>
        <v>0</v>
      </c>
      <c r="D82" s="661">
        <f>'RT03-F12 %'!G45</f>
        <v>0</v>
      </c>
      <c r="E82" s="662">
        <f>'RT03-F12 %'!G46</f>
        <v>0</v>
      </c>
      <c r="F82" s="633"/>
      <c r="G82" s="633"/>
    </row>
    <row r="83" spans="1:7" ht="20.100000000000001" customHeight="1" x14ac:dyDescent="0.2">
      <c r="A83" s="1589">
        <f>'RT03-F12 %'!H43</f>
        <v>7</v>
      </c>
      <c r="B83" s="1590"/>
      <c r="C83" s="661">
        <f>'RT03-F12 %'!H44</f>
        <v>0</v>
      </c>
      <c r="D83" s="661">
        <f>'RT03-F12 %'!H45</f>
        <v>0</v>
      </c>
      <c r="E83" s="662">
        <f>'RT03-F12 %'!H46</f>
        <v>0</v>
      </c>
      <c r="F83" s="633"/>
      <c r="G83" s="633"/>
    </row>
    <row r="84" spans="1:7" ht="20.100000000000001" customHeight="1" x14ac:dyDescent="0.2">
      <c r="A84" s="1589">
        <f>'RT03-F12 %'!I43</f>
        <v>8</v>
      </c>
      <c r="B84" s="1590"/>
      <c r="C84" s="661">
        <f>'RT03-F12 %'!I44</f>
        <v>0</v>
      </c>
      <c r="D84" s="661">
        <f>'RT03-F12 %'!I45</f>
        <v>0</v>
      </c>
      <c r="E84" s="662">
        <f>'RT03-F12 %'!I46</f>
        <v>0</v>
      </c>
      <c r="F84" s="633"/>
      <c r="G84" s="633"/>
    </row>
    <row r="85" spans="1:7" ht="20.100000000000001" customHeight="1" x14ac:dyDescent="0.2">
      <c r="A85" s="1589">
        <f>'RT03-F12 %'!J43</f>
        <v>9</v>
      </c>
      <c r="B85" s="1590"/>
      <c r="C85" s="661">
        <f>'RT03-F12 %'!J44</f>
        <v>0</v>
      </c>
      <c r="D85" s="661">
        <f>'RT03-F12 %'!J45</f>
        <v>0</v>
      </c>
      <c r="E85" s="662">
        <f>'RT03-F12 %'!J46</f>
        <v>0</v>
      </c>
      <c r="F85" s="633"/>
      <c r="G85" s="633"/>
    </row>
    <row r="86" spans="1:7" ht="20.100000000000001" customHeight="1" thickBot="1" x14ac:dyDescent="0.25">
      <c r="A86" s="1594">
        <f>'RT03-F12 %'!K43</f>
        <v>10</v>
      </c>
      <c r="B86" s="1595"/>
      <c r="C86" s="663">
        <f>'RT03-F12 %'!K44</f>
        <v>0</v>
      </c>
      <c r="D86" s="663">
        <f>'RT03-F12 %'!K45</f>
        <v>0</v>
      </c>
      <c r="E86" s="664">
        <f>'RT03-F12 %'!K46</f>
        <v>0</v>
      </c>
      <c r="F86" s="796"/>
      <c r="G86" s="796"/>
    </row>
    <row r="87" spans="1:7" ht="12" customHeight="1" x14ac:dyDescent="0.2">
      <c r="A87" s="624"/>
      <c r="B87" s="624"/>
      <c r="C87" s="624"/>
      <c r="D87" s="624"/>
      <c r="E87" s="796"/>
      <c r="F87" s="796"/>
      <c r="G87" s="796"/>
    </row>
    <row r="88" spans="1:7" ht="48" customHeight="1" x14ac:dyDescent="0.2">
      <c r="A88" s="1571" t="s">
        <v>241</v>
      </c>
      <c r="B88" s="1571"/>
      <c r="C88" s="1571"/>
      <c r="D88" s="1571"/>
      <c r="E88" s="1571"/>
      <c r="F88" s="1571"/>
      <c r="G88" s="1571"/>
    </row>
    <row r="89" spans="1:7" ht="12" customHeight="1" x14ac:dyDescent="0.2">
      <c r="F89" s="796"/>
      <c r="G89" s="796"/>
    </row>
    <row r="90" spans="1:7" ht="23.1" customHeight="1" x14ac:dyDescent="0.2">
      <c r="A90" s="1508" t="s">
        <v>245</v>
      </c>
      <c r="B90" s="1508"/>
      <c r="C90" s="1508"/>
      <c r="D90" s="1508"/>
      <c r="E90" s="1508"/>
      <c r="F90" s="624"/>
      <c r="G90" s="624"/>
    </row>
    <row r="91" spans="1:7" ht="12" customHeight="1" thickBot="1" x14ac:dyDescent="0.25">
      <c r="E91" s="61"/>
    </row>
    <row r="92" spans="1:7" ht="30.95" customHeight="1" thickBot="1" x14ac:dyDescent="0.25">
      <c r="A92" s="1596" t="s">
        <v>240</v>
      </c>
      <c r="B92" s="1597"/>
      <c r="C92" s="1597"/>
      <c r="D92" s="1598"/>
      <c r="E92" s="619" t="s">
        <v>354</v>
      </c>
      <c r="F92" s="619" t="s">
        <v>370</v>
      </c>
      <c r="G92" s="619" t="s">
        <v>371</v>
      </c>
    </row>
    <row r="93" spans="1:7" ht="30" customHeight="1" thickBot="1" x14ac:dyDescent="0.25">
      <c r="A93" s="1599" t="s">
        <v>354</v>
      </c>
      <c r="B93" s="1599"/>
      <c r="C93" s="792" t="s">
        <v>261</v>
      </c>
      <c r="D93" s="792" t="s">
        <v>422</v>
      </c>
      <c r="E93" s="620" t="e">
        <f>'RT03-F12 %'!G21</f>
        <v>#N/A</v>
      </c>
      <c r="F93" s="619">
        <v>1</v>
      </c>
      <c r="G93" s="619">
        <v>-1</v>
      </c>
    </row>
    <row r="94" spans="1:7" ht="20.100000000000001" customHeight="1" x14ac:dyDescent="0.2">
      <c r="A94" s="1600" t="e">
        <f>'RT03-F12 %'!K95</f>
        <v>#N/A</v>
      </c>
      <c r="B94" s="1601"/>
      <c r="C94" s="665">
        <f>'RT03-F12 %'!C55</f>
        <v>0</v>
      </c>
      <c r="D94" s="666" t="e">
        <f>'RT03-F12 %'!D55</f>
        <v>#N/A</v>
      </c>
      <c r="E94" s="620" t="e">
        <f>'RT03-F12 %'!G22</f>
        <v>#N/A</v>
      </c>
      <c r="F94" s="619">
        <v>1</v>
      </c>
      <c r="G94" s="619">
        <v>-1</v>
      </c>
    </row>
    <row r="95" spans="1:7" ht="20.100000000000001" customHeight="1" x14ac:dyDescent="0.2">
      <c r="A95" s="1602" t="e">
        <f>'RT03-F12 %'!K96</f>
        <v>#N/A</v>
      </c>
      <c r="B95" s="1603"/>
      <c r="C95" s="661">
        <f>'RT03-F12 %'!C56</f>
        <v>0</v>
      </c>
      <c r="D95" s="667" t="e">
        <f>'RT03-F12 %'!D56</f>
        <v>#N/A</v>
      </c>
      <c r="E95" s="620" t="e">
        <f>'RT03-F12 %'!G23</f>
        <v>#N/A</v>
      </c>
      <c r="F95" s="619">
        <v>1</v>
      </c>
      <c r="G95" s="619">
        <v>-1</v>
      </c>
    </row>
    <row r="96" spans="1:7" ht="20.100000000000001" customHeight="1" x14ac:dyDescent="0.2">
      <c r="A96" s="1602" t="e">
        <f>'RT03-F12 %'!K97</f>
        <v>#N/A</v>
      </c>
      <c r="B96" s="1603"/>
      <c r="C96" s="661">
        <f>'RT03-F12 %'!C57</f>
        <v>0</v>
      </c>
      <c r="D96" s="667" t="e">
        <f>'RT03-F12 %'!D57</f>
        <v>#N/A</v>
      </c>
      <c r="E96" s="620" t="e">
        <f>'RT03-F12 %'!G24</f>
        <v>#N/A</v>
      </c>
      <c r="F96" s="619">
        <v>1</v>
      </c>
      <c r="G96" s="619">
        <v>-1</v>
      </c>
    </row>
    <row r="97" spans="1:7" ht="20.100000000000001" customHeight="1" x14ac:dyDescent="0.2">
      <c r="A97" s="1602" t="e">
        <f>'RT03-F12 %'!K98</f>
        <v>#N/A</v>
      </c>
      <c r="B97" s="1603"/>
      <c r="C97" s="661">
        <f>'RT03-F12 %'!C58</f>
        <v>0</v>
      </c>
      <c r="D97" s="668" t="e">
        <f>'RT03-F12 %'!D58</f>
        <v>#N/A</v>
      </c>
      <c r="E97" s="620" t="e">
        <f>'RT03-F12 %'!G25</f>
        <v>#N/A</v>
      </c>
      <c r="F97" s="619">
        <v>2</v>
      </c>
      <c r="G97" s="619">
        <v>-2</v>
      </c>
    </row>
    <row r="98" spans="1:7" ht="20.100000000000001" customHeight="1" thickBot="1" x14ac:dyDescent="0.25">
      <c r="A98" s="1604" t="e">
        <f>'RT03-F12 %'!K99</f>
        <v>#N/A</v>
      </c>
      <c r="B98" s="1605"/>
      <c r="C98" s="663">
        <f>'RT03-F12 %'!C59</f>
        <v>0</v>
      </c>
      <c r="D98" s="669" t="e">
        <f>'RT03-F12 %'!D59</f>
        <v>#N/A</v>
      </c>
      <c r="E98" s="620">
        <f>'RT03-F12 %'!G26</f>
        <v>0</v>
      </c>
      <c r="F98" s="619">
        <v>2</v>
      </c>
      <c r="G98" s="619">
        <v>-2</v>
      </c>
    </row>
    <row r="99" spans="1:7" ht="15.95" customHeight="1" thickBot="1" x14ac:dyDescent="0.25">
      <c r="A99" s="670"/>
      <c r="B99" s="670"/>
      <c r="C99" s="670"/>
      <c r="D99" s="670"/>
      <c r="E99" s="624"/>
      <c r="F99" s="624"/>
      <c r="G99" s="670"/>
    </row>
    <row r="100" spans="1:7" ht="18.75" customHeight="1" thickBot="1" x14ac:dyDescent="0.25">
      <c r="A100" s="1596" t="s">
        <v>242</v>
      </c>
      <c r="B100" s="1597"/>
      <c r="C100" s="1597"/>
      <c r="D100" s="1597"/>
      <c r="E100" s="705" t="s">
        <v>316</v>
      </c>
      <c r="F100" s="624"/>
      <c r="G100" s="670"/>
    </row>
    <row r="101" spans="1:7" ht="30" customHeight="1" thickBot="1" x14ac:dyDescent="0.25">
      <c r="A101" s="1599" t="s">
        <v>354</v>
      </c>
      <c r="B101" s="1599"/>
      <c r="C101" s="671" t="s">
        <v>203</v>
      </c>
      <c r="D101" s="671" t="s">
        <v>280</v>
      </c>
      <c r="E101" s="671" t="s">
        <v>317</v>
      </c>
      <c r="F101" s="624"/>
      <c r="G101" s="670"/>
    </row>
    <row r="102" spans="1:7" ht="20.100000000000001" customHeight="1" x14ac:dyDescent="0.2">
      <c r="A102" s="1600" t="e">
        <f>'RT03-F12 %'!K95</f>
        <v>#N/A</v>
      </c>
      <c r="B102" s="1601"/>
      <c r="C102" s="712" t="e">
        <f>'RT03-F12 %'!M95</f>
        <v>#DIV/0!</v>
      </c>
      <c r="D102" s="713" t="e">
        <f>IF('RT03-F12 %'!O95&lt;=('RT03-F12 %'!Q95),' CMC %'!C21,'RT03-F12 %'!O95)</f>
        <v>#N/A</v>
      </c>
      <c r="E102" s="714" t="e">
        <f>'Pc % '!N7</f>
        <v>#DIV/0!</v>
      </c>
      <c r="F102" s="672"/>
      <c r="G102" s="673"/>
    </row>
    <row r="103" spans="1:7" ht="20.100000000000001" customHeight="1" x14ac:dyDescent="0.2">
      <c r="A103" s="1602" t="e">
        <f>'RT03-F12 %'!K96</f>
        <v>#N/A</v>
      </c>
      <c r="B103" s="1603"/>
      <c r="C103" s="706" t="e">
        <f>'RT03-F12 %'!M96</f>
        <v>#DIV/0!</v>
      </c>
      <c r="D103" s="707" t="e">
        <f>IF('RT03-F12 %'!O96&lt;=('RT03-F12 %'!Q96),' CMC %'!C21,'RT03-F12 %'!O96)</f>
        <v>#N/A</v>
      </c>
      <c r="E103" s="708" t="e">
        <f>'Pc % '!N8</f>
        <v>#DIV/0!</v>
      </c>
      <c r="F103" s="672"/>
      <c r="G103" s="674"/>
    </row>
    <row r="104" spans="1:7" ht="20.100000000000001" customHeight="1" x14ac:dyDescent="0.2">
      <c r="A104" s="1602" t="e">
        <f>'RT03-F12 %'!K97</f>
        <v>#N/A</v>
      </c>
      <c r="B104" s="1603"/>
      <c r="C104" s="706" t="e">
        <f>'RT03-F12 %'!M97</f>
        <v>#DIV/0!</v>
      </c>
      <c r="D104" s="709" t="e">
        <f>IF('RT03-F12 %'!O97&lt;=('RT03-F12 %'!Q97),' CMC %'!C21,'RT03-F12 %'!O97)</f>
        <v>#N/A</v>
      </c>
      <c r="E104" s="708" t="e">
        <f>'Pc % '!N9</f>
        <v>#DIV/0!</v>
      </c>
      <c r="F104" s="672"/>
      <c r="G104" s="674"/>
    </row>
    <row r="105" spans="1:7" ht="20.100000000000001" customHeight="1" x14ac:dyDescent="0.2">
      <c r="A105" s="1602" t="e">
        <f>'RT03-F12 %'!K98</f>
        <v>#N/A</v>
      </c>
      <c r="B105" s="1603"/>
      <c r="C105" s="709" t="e">
        <f>'RT03-F12 %'!M98</f>
        <v>#DIV/0!</v>
      </c>
      <c r="D105" s="709" t="e">
        <f>IF('RT03-F12 %'!O98&lt;=('RT03-F12 %'!Q98),' CMC %'!C21,'RT03-F12 %'!O98)</f>
        <v>#N/A</v>
      </c>
      <c r="E105" s="708" t="e">
        <f>'Pc % '!N10</f>
        <v>#DIV/0!</v>
      </c>
      <c r="F105" s="672"/>
      <c r="G105" s="674"/>
    </row>
    <row r="106" spans="1:7" ht="20.100000000000001" customHeight="1" thickBot="1" x14ac:dyDescent="0.25">
      <c r="A106" s="1604" t="e">
        <f>'RT03-F12 %'!K99</f>
        <v>#N/A</v>
      </c>
      <c r="B106" s="1605"/>
      <c r="C106" s="710" t="e">
        <f>'RT03-F12 %'!M99</f>
        <v>#DIV/0!</v>
      </c>
      <c r="D106" s="710" t="e">
        <f>IF('RT03-F12 %'!O99&lt;=('RT03-F12 %'!Q99),' CMC %'!C21,'RT03-F12 %'!O99)</f>
        <v>#N/A</v>
      </c>
      <c r="E106" s="711" t="e">
        <f>'Pc % '!N11</f>
        <v>#DIV/0!</v>
      </c>
      <c r="F106" s="675"/>
      <c r="G106" s="674"/>
    </row>
    <row r="107" spans="1:7" ht="20.100000000000001" customHeight="1" x14ac:dyDescent="0.2">
      <c r="A107" s="676"/>
      <c r="B107" s="676"/>
      <c r="C107" s="677"/>
      <c r="D107" s="677"/>
      <c r="E107" s="678"/>
      <c r="F107" s="675"/>
      <c r="G107" s="674"/>
    </row>
    <row r="108" spans="1:7" ht="125.1" customHeight="1" x14ac:dyDescent="0.2">
      <c r="A108" s="676"/>
      <c r="B108" s="676"/>
      <c r="C108" s="677"/>
      <c r="D108" s="677"/>
      <c r="E108" s="678"/>
      <c r="F108" s="675"/>
      <c r="G108" s="674"/>
    </row>
    <row r="109" spans="1:7" ht="35.1" customHeight="1" x14ac:dyDescent="0.2">
      <c r="A109" s="676"/>
      <c r="B109" s="676"/>
      <c r="C109" s="677"/>
      <c r="D109" s="677"/>
      <c r="E109" s="678"/>
      <c r="F109" s="675"/>
      <c r="G109" s="674"/>
    </row>
    <row r="110" spans="1:7" ht="35.1" customHeight="1" thickBot="1" x14ac:dyDescent="0.25">
      <c r="A110" s="679"/>
      <c r="B110" s="679"/>
      <c r="C110" s="680"/>
      <c r="D110" s="680"/>
      <c r="E110" s="1507" t="s">
        <v>481</v>
      </c>
      <c r="F110" s="1507"/>
      <c r="G110" s="622" t="e">
        <f>G3</f>
        <v>#N/A</v>
      </c>
    </row>
    <row r="111" spans="1:7" ht="24" customHeight="1" thickBot="1" x14ac:dyDescent="0.25">
      <c r="A111" s="1606" t="s">
        <v>313</v>
      </c>
      <c r="B111" s="1607"/>
      <c r="C111" s="681" t="s">
        <v>314</v>
      </c>
      <c r="D111" s="682" t="s">
        <v>484</v>
      </c>
      <c r="E111" s="633"/>
      <c r="F111" s="683"/>
      <c r="G111" s="633"/>
    </row>
    <row r="112" spans="1:7" ht="24" customHeight="1" x14ac:dyDescent="0.2">
      <c r="A112" s="1608" t="s">
        <v>315</v>
      </c>
      <c r="B112" s="1609"/>
      <c r="C112" s="963" t="s">
        <v>541</v>
      </c>
      <c r="D112" s="964">
        <v>1</v>
      </c>
      <c r="E112" s="633"/>
      <c r="F112" s="683"/>
      <c r="G112" s="633"/>
    </row>
    <row r="113" spans="1:7" ht="24" customHeight="1" thickBot="1" x14ac:dyDescent="0.25">
      <c r="A113" s="1610" t="s">
        <v>321</v>
      </c>
      <c r="B113" s="1611"/>
      <c r="C113" s="965" t="s">
        <v>542</v>
      </c>
      <c r="D113" s="966">
        <v>2</v>
      </c>
      <c r="E113" s="633"/>
      <c r="F113" s="683"/>
      <c r="G113" s="633"/>
    </row>
    <row r="114" spans="1:7" ht="27.95" customHeight="1" x14ac:dyDescent="0.2">
      <c r="A114" s="633"/>
      <c r="B114" s="633"/>
      <c r="C114" s="633"/>
      <c r="D114" s="633"/>
      <c r="E114" s="633"/>
      <c r="F114" s="683"/>
      <c r="G114" s="633"/>
    </row>
    <row r="115" spans="1:7" ht="15" customHeight="1" x14ac:dyDescent="0.2">
      <c r="A115" s="670"/>
      <c r="B115" s="670"/>
      <c r="C115" s="680"/>
      <c r="D115" s="680"/>
      <c r="E115" s="624"/>
      <c r="F115" s="624"/>
      <c r="G115" s="624"/>
    </row>
    <row r="116" spans="1:7" ht="15" customHeight="1" x14ac:dyDescent="0.2">
      <c r="A116" s="633"/>
      <c r="B116" s="633"/>
      <c r="C116" s="684"/>
      <c r="D116" s="633"/>
      <c r="E116" s="633"/>
      <c r="F116" s="633"/>
      <c r="G116" s="633"/>
    </row>
    <row r="117" spans="1:7" ht="15" customHeight="1" x14ac:dyDescent="0.2">
      <c r="A117" s="633"/>
      <c r="B117" s="633"/>
      <c r="C117" s="633"/>
      <c r="D117" s="633"/>
      <c r="E117" s="633"/>
      <c r="F117" s="633"/>
      <c r="G117" s="633"/>
    </row>
    <row r="118" spans="1:7" ht="15" customHeight="1" x14ac:dyDescent="0.2">
      <c r="A118" s="633"/>
      <c r="B118" s="633"/>
      <c r="C118" s="633"/>
      <c r="D118" s="633"/>
      <c r="E118" s="633"/>
      <c r="F118" s="633"/>
      <c r="G118" s="633"/>
    </row>
    <row r="119" spans="1:7" ht="15" customHeight="1" x14ac:dyDescent="0.2">
      <c r="A119" s="633"/>
      <c r="B119" s="633"/>
      <c r="C119" s="633"/>
      <c r="D119" s="633"/>
      <c r="E119" s="633"/>
      <c r="F119" s="633"/>
      <c r="G119" s="633"/>
    </row>
    <row r="120" spans="1:7" ht="15" customHeight="1" x14ac:dyDescent="0.2">
      <c r="A120" s="633"/>
      <c r="B120" s="633"/>
      <c r="C120" s="633"/>
      <c r="D120" s="633"/>
      <c r="E120" s="633"/>
      <c r="F120" s="633"/>
      <c r="G120" s="633"/>
    </row>
    <row r="121" spans="1:7" ht="15" customHeight="1" x14ac:dyDescent="0.2">
      <c r="A121" s="633"/>
      <c r="B121" s="633"/>
      <c r="C121" s="633"/>
      <c r="D121" s="633"/>
      <c r="E121" s="633"/>
      <c r="F121" s="633"/>
      <c r="G121" s="633"/>
    </row>
    <row r="122" spans="1:7" ht="15" customHeight="1" x14ac:dyDescent="0.2">
      <c r="A122" s="633"/>
      <c r="B122" s="633"/>
      <c r="C122" s="633"/>
      <c r="D122" s="633"/>
      <c r="E122" s="633"/>
      <c r="F122" s="633"/>
      <c r="G122" s="633"/>
    </row>
    <row r="123" spans="1:7" ht="15" customHeight="1" x14ac:dyDescent="0.2">
      <c r="A123" s="633"/>
      <c r="B123" s="633"/>
      <c r="C123" s="633"/>
      <c r="D123" s="633"/>
      <c r="E123" s="633"/>
      <c r="F123" s="633"/>
      <c r="G123" s="633"/>
    </row>
    <row r="124" spans="1:7" ht="15" customHeight="1" x14ac:dyDescent="0.2">
      <c r="A124" s="633"/>
      <c r="B124" s="633"/>
      <c r="C124" s="633"/>
      <c r="D124" s="633"/>
      <c r="E124" s="633"/>
      <c r="F124" s="633"/>
      <c r="G124" s="633"/>
    </row>
    <row r="125" spans="1:7" ht="15" customHeight="1" x14ac:dyDescent="0.2">
      <c r="A125" s="633"/>
      <c r="B125" s="633"/>
      <c r="C125" s="633"/>
      <c r="D125" s="633"/>
      <c r="E125" s="633"/>
      <c r="F125" s="633"/>
      <c r="G125" s="633"/>
    </row>
    <row r="126" spans="1:7" ht="15" customHeight="1" x14ac:dyDescent="0.2">
      <c r="A126" s="633"/>
      <c r="B126" s="633"/>
      <c r="C126" s="633"/>
      <c r="D126" s="633"/>
      <c r="E126" s="633"/>
      <c r="F126" s="633"/>
      <c r="G126" s="633"/>
    </row>
    <row r="127" spans="1:7" ht="15" customHeight="1" x14ac:dyDescent="0.2">
      <c r="A127" s="633"/>
      <c r="B127" s="633"/>
      <c r="C127" s="633"/>
      <c r="D127" s="633"/>
      <c r="E127" s="633"/>
      <c r="F127" s="633"/>
      <c r="G127" s="633"/>
    </row>
    <row r="128" spans="1:7" ht="15" customHeight="1" x14ac:dyDescent="0.2">
      <c r="E128" s="624"/>
      <c r="F128" s="624"/>
      <c r="G128" s="624"/>
    </row>
    <row r="129" spans="1:8" ht="15" customHeight="1" x14ac:dyDescent="0.2">
      <c r="A129" s="624"/>
      <c r="B129" s="624"/>
      <c r="C129" s="624"/>
      <c r="D129" s="624"/>
      <c r="E129" s="624"/>
      <c r="F129" s="624"/>
      <c r="G129" s="624"/>
    </row>
    <row r="130" spans="1:8" ht="32.1" customHeight="1" x14ac:dyDescent="0.2">
      <c r="A130" s="624"/>
      <c r="B130" s="624"/>
      <c r="C130" s="624"/>
      <c r="D130" s="624"/>
      <c r="E130" s="624"/>
      <c r="F130" s="624"/>
      <c r="G130" s="624"/>
    </row>
    <row r="131" spans="1:8" ht="69.95" customHeight="1" x14ac:dyDescent="0.2">
      <c r="A131" s="1509" t="s">
        <v>464</v>
      </c>
      <c r="B131" s="1509"/>
      <c r="C131" s="1509"/>
      <c r="D131" s="1509"/>
      <c r="E131" s="1509"/>
      <c r="F131" s="1509"/>
      <c r="G131" s="1509"/>
    </row>
    <row r="132" spans="1:8" ht="23.1" customHeight="1" x14ac:dyDescent="0.2">
      <c r="A132" s="797"/>
      <c r="B132" s="797"/>
      <c r="C132" s="797"/>
      <c r="D132" s="797"/>
      <c r="E132" s="797"/>
      <c r="F132" s="797"/>
      <c r="G132" s="797"/>
    </row>
    <row r="133" spans="1:8" ht="21" customHeight="1" x14ac:dyDescent="0.2">
      <c r="A133" s="685"/>
      <c r="B133" s="685"/>
      <c r="C133" s="685"/>
      <c r="D133" s="685"/>
      <c r="E133" s="685"/>
      <c r="F133" s="685"/>
      <c r="G133" s="685"/>
    </row>
    <row r="134" spans="1:8" ht="21" customHeight="1" x14ac:dyDescent="0.2">
      <c r="A134" s="685"/>
      <c r="B134" s="685"/>
      <c r="C134" s="685"/>
      <c r="D134" s="685"/>
      <c r="E134" s="685"/>
      <c r="F134" s="685"/>
      <c r="G134" s="685"/>
    </row>
    <row r="135" spans="1:8" ht="20.100000000000001" customHeight="1" x14ac:dyDescent="0.2">
      <c r="A135" s="1508"/>
      <c r="B135" s="1508"/>
      <c r="C135" s="1508"/>
      <c r="D135" s="1508"/>
      <c r="E135" s="624"/>
      <c r="F135" s="624"/>
      <c r="G135" s="624"/>
    </row>
    <row r="136" spans="1:8" ht="20.100000000000001" customHeight="1" x14ac:dyDescent="0.2">
      <c r="A136" s="1506" t="s">
        <v>275</v>
      </c>
      <c r="B136" s="1506"/>
      <c r="C136" s="1506"/>
      <c r="D136" s="1506"/>
      <c r="E136" s="1506"/>
      <c r="F136" s="1506"/>
      <c r="G136" s="624"/>
    </row>
    <row r="137" spans="1:8" ht="12" customHeight="1" x14ac:dyDescent="0.2">
      <c r="A137" s="799"/>
      <c r="B137" s="799"/>
      <c r="C137" s="632"/>
      <c r="D137" s="632"/>
      <c r="E137" s="632"/>
      <c r="F137" s="632"/>
      <c r="G137" s="624"/>
    </row>
    <row r="138" spans="1:8" s="686" customFormat="1" ht="57.95" customHeight="1" x14ac:dyDescent="0.25">
      <c r="A138" s="1580" t="s">
        <v>375</v>
      </c>
      <c r="B138" s="1580"/>
      <c r="C138" s="1580"/>
      <c r="D138" s="1580"/>
      <c r="E138" s="1580"/>
      <c r="F138" s="1580"/>
      <c r="G138" s="1580"/>
    </row>
    <row r="139" spans="1:8" ht="24.75" customHeight="1" x14ac:dyDescent="0.2">
      <c r="A139" s="687"/>
      <c r="B139" s="687"/>
      <c r="C139" s="687"/>
      <c r="D139" s="687"/>
      <c r="E139" s="687"/>
      <c r="F139" s="687"/>
      <c r="G139" s="687"/>
    </row>
    <row r="140" spans="1:8" ht="20.100000000000001" customHeight="1" x14ac:dyDescent="0.2">
      <c r="A140" s="637"/>
      <c r="B140" s="637"/>
      <c r="C140" s="637"/>
      <c r="D140" s="637"/>
      <c r="E140" s="637"/>
      <c r="F140" s="637"/>
      <c r="G140" s="637"/>
      <c r="H140" s="688"/>
    </row>
    <row r="141" spans="1:8" ht="18" customHeight="1" x14ac:dyDescent="0.2">
      <c r="A141" s="637"/>
      <c r="B141" s="637"/>
      <c r="C141" s="637"/>
      <c r="D141" s="637"/>
      <c r="E141" s="637"/>
      <c r="F141" s="802"/>
      <c r="G141" s="689"/>
      <c r="H141" s="688"/>
    </row>
    <row r="142" spans="1:8" ht="18" customHeight="1" x14ac:dyDescent="0.2">
      <c r="A142" s="690"/>
      <c r="B142" s="690"/>
      <c r="C142" s="690"/>
      <c r="D142" s="690"/>
      <c r="E142" s="690"/>
      <c r="F142" s="691"/>
      <c r="G142" s="692"/>
      <c r="H142" s="688"/>
    </row>
    <row r="143" spans="1:8" ht="125.1" customHeight="1" x14ac:dyDescent="0.2">
      <c r="A143" s="1510"/>
      <c r="B143" s="1510"/>
      <c r="C143" s="1510"/>
      <c r="D143" s="1510"/>
      <c r="E143" s="1510"/>
      <c r="F143" s="1510"/>
      <c r="G143" s="1510"/>
    </row>
    <row r="144" spans="1:8" ht="35.1" customHeight="1" x14ac:dyDescent="0.2"/>
    <row r="145" spans="1:8" ht="35.1" customHeight="1" x14ac:dyDescent="0.2">
      <c r="E145" s="1507" t="s">
        <v>481</v>
      </c>
      <c r="F145" s="1507"/>
      <c r="G145" s="622" t="e">
        <f>G3</f>
        <v>#N/A</v>
      </c>
    </row>
    <row r="146" spans="1:8" ht="23.1" customHeight="1" x14ac:dyDescent="0.2">
      <c r="E146" s="795"/>
      <c r="F146" s="795"/>
      <c r="G146" s="693"/>
    </row>
    <row r="147" spans="1:8" ht="23.1" customHeight="1" x14ac:dyDescent="0.2">
      <c r="A147" s="1506" t="s">
        <v>276</v>
      </c>
      <c r="B147" s="1506"/>
      <c r="C147" s="1506"/>
      <c r="D147" s="1506"/>
      <c r="E147" s="694"/>
      <c r="F147" s="695"/>
      <c r="G147" s="695"/>
    </row>
    <row r="148" spans="1:8" ht="23.1" customHeight="1" x14ac:dyDescent="0.2">
      <c r="A148" s="1505"/>
      <c r="B148" s="1505"/>
      <c r="C148" s="1505"/>
      <c r="D148" s="1505"/>
      <c r="E148" s="1505"/>
      <c r="F148" s="1505"/>
      <c r="G148" s="1505"/>
    </row>
    <row r="149" spans="1:8" s="696" customFormat="1" ht="33" customHeight="1" x14ac:dyDescent="0.2">
      <c r="A149" s="967" t="s">
        <v>406</v>
      </c>
      <c r="B149" s="1568" t="s">
        <v>407</v>
      </c>
      <c r="C149" s="1568"/>
      <c r="D149" s="1568"/>
      <c r="E149" s="1568"/>
      <c r="F149" s="1568"/>
      <c r="G149" s="1568"/>
    </row>
    <row r="150" spans="1:8" s="696" customFormat="1" ht="33" customHeight="1" x14ac:dyDescent="0.2">
      <c r="A150" s="968" t="s">
        <v>406</v>
      </c>
      <c r="B150" s="1487" t="s">
        <v>408</v>
      </c>
      <c r="C150" s="1487"/>
      <c r="D150" s="1487"/>
      <c r="E150" s="1487"/>
      <c r="F150" s="1487"/>
      <c r="G150" s="1487"/>
      <c r="H150" s="697"/>
    </row>
    <row r="151" spans="1:8" s="696" customFormat="1" ht="33" customHeight="1" x14ac:dyDescent="0.2">
      <c r="A151" s="968" t="s">
        <v>409</v>
      </c>
      <c r="B151" s="1487" t="s">
        <v>410</v>
      </c>
      <c r="C151" s="1487"/>
      <c r="D151" s="1487"/>
      <c r="E151" s="1487"/>
      <c r="F151" s="1487"/>
      <c r="G151" s="1487"/>
      <c r="H151" s="697"/>
    </row>
    <row r="152" spans="1:8" s="696" customFormat="1" ht="23.1" customHeight="1" x14ac:dyDescent="0.2">
      <c r="A152" s="968" t="s">
        <v>406</v>
      </c>
      <c r="B152" s="1487" t="s">
        <v>411</v>
      </c>
      <c r="C152" s="1487"/>
      <c r="D152" s="1487"/>
      <c r="E152" s="1487"/>
      <c r="F152" s="1487"/>
      <c r="G152" s="1487"/>
    </row>
    <row r="153" spans="1:8" s="696" customFormat="1" ht="23.1" customHeight="1" x14ac:dyDescent="0.2">
      <c r="A153" s="968" t="s">
        <v>406</v>
      </c>
      <c r="B153" s="1487" t="s">
        <v>412</v>
      </c>
      <c r="C153" s="1487"/>
      <c r="D153" s="1487"/>
      <c r="E153" s="1487"/>
      <c r="F153" s="1487"/>
      <c r="G153" s="1487"/>
    </row>
    <row r="154" spans="1:8" s="697" customFormat="1" ht="33" customHeight="1" x14ac:dyDescent="0.2">
      <c r="A154" s="968" t="s">
        <v>406</v>
      </c>
      <c r="B154" s="1487" t="s">
        <v>413</v>
      </c>
      <c r="C154" s="1487"/>
      <c r="D154" s="1487"/>
      <c r="E154" s="1487"/>
      <c r="F154" s="1487"/>
      <c r="G154" s="1487"/>
    </row>
    <row r="155" spans="1:8" s="696" customFormat="1" ht="23.1" customHeight="1" x14ac:dyDescent="0.2">
      <c r="A155" s="967" t="s">
        <v>406</v>
      </c>
      <c r="B155" s="1568" t="s">
        <v>414</v>
      </c>
      <c r="C155" s="1568"/>
      <c r="D155" s="1568"/>
      <c r="E155" s="1568"/>
      <c r="F155" s="1568"/>
      <c r="G155" s="1568"/>
    </row>
    <row r="156" spans="1:8" s="696" customFormat="1" ht="23.1" customHeight="1" x14ac:dyDescent="0.2">
      <c r="A156" s="969" t="s">
        <v>409</v>
      </c>
      <c r="B156" s="1568" t="s">
        <v>416</v>
      </c>
      <c r="C156" s="1568"/>
      <c r="D156" s="1568"/>
      <c r="E156" s="1568"/>
      <c r="F156" s="1568"/>
      <c r="G156" s="1568"/>
    </row>
    <row r="157" spans="1:8" s="696" customFormat="1" ht="23.1" customHeight="1" x14ac:dyDescent="0.2">
      <c r="A157" s="969" t="s">
        <v>406</v>
      </c>
      <c r="B157" s="1568" t="s">
        <v>415</v>
      </c>
      <c r="C157" s="1568"/>
      <c r="D157" s="1568"/>
      <c r="E157" s="1568"/>
      <c r="F157" s="1568"/>
      <c r="G157" s="1568"/>
    </row>
    <row r="158" spans="1:8" s="696" customFormat="1" ht="33" customHeight="1" x14ac:dyDescent="0.2">
      <c r="A158" s="969" t="s">
        <v>406</v>
      </c>
      <c r="B158" s="1499" t="s">
        <v>485</v>
      </c>
      <c r="C158" s="1499"/>
      <c r="D158" s="1499"/>
      <c r="E158" s="1499"/>
      <c r="F158" s="1499"/>
      <c r="G158" s="1499"/>
    </row>
    <row r="159" spans="1:8" ht="23.1" customHeight="1" x14ac:dyDescent="0.2">
      <c r="A159" s="698"/>
      <c r="B159" s="1500"/>
      <c r="C159" s="1500"/>
      <c r="D159" s="1500"/>
      <c r="E159" s="1500"/>
      <c r="F159" s="1500"/>
      <c r="G159" s="1500"/>
    </row>
    <row r="160" spans="1:8" ht="20.25" customHeight="1" x14ac:dyDescent="0.2">
      <c r="A160" s="699"/>
      <c r="B160" s="793"/>
      <c r="C160" s="793"/>
      <c r="D160" s="793"/>
      <c r="E160" s="793"/>
      <c r="F160" s="793"/>
      <c r="G160" s="793"/>
    </row>
    <row r="161" spans="1:11" ht="20.100000000000001" customHeight="1" x14ac:dyDescent="0.25">
      <c r="A161" s="1562" t="s">
        <v>319</v>
      </c>
      <c r="B161" s="1562"/>
      <c r="C161" s="1562"/>
      <c r="D161" s="700"/>
      <c r="E161" s="700"/>
      <c r="F161" s="701"/>
      <c r="G161" s="701"/>
    </row>
    <row r="162" spans="1:11" ht="20.100000000000001" customHeight="1" x14ac:dyDescent="0.2">
      <c r="A162" s="793"/>
      <c r="B162" s="793"/>
      <c r="C162" s="793"/>
      <c r="D162" s="793"/>
      <c r="E162" s="793"/>
      <c r="F162" s="793"/>
      <c r="G162" s="793"/>
    </row>
    <row r="163" spans="1:11" ht="20.100000000000001" customHeight="1" x14ac:dyDescent="0.2">
      <c r="A163" s="1493"/>
      <c r="B163" s="1493"/>
      <c r="C163" s="1493"/>
      <c r="D163" s="1493"/>
      <c r="E163" s="1493"/>
      <c r="F163" s="1493"/>
      <c r="G163" s="1493"/>
    </row>
    <row r="164" spans="1:11" ht="30" customHeight="1" x14ac:dyDescent="0.2">
      <c r="A164" s="702"/>
      <c r="B164" s="702"/>
      <c r="C164" s="702"/>
      <c r="D164" s="703"/>
      <c r="E164" s="828"/>
      <c r="F164" s="828"/>
      <c r="G164" s="703"/>
    </row>
    <row r="165" spans="1:11" ht="20.100000000000001" customHeight="1" x14ac:dyDescent="0.2">
      <c r="A165" s="1494" t="s">
        <v>72</v>
      </c>
      <c r="B165" s="1494"/>
      <c r="C165" s="1494"/>
      <c r="D165" s="1494"/>
      <c r="E165" s="1494" t="s">
        <v>85</v>
      </c>
      <c r="F165" s="1494"/>
      <c r="G165" s="1494"/>
    </row>
    <row r="166" spans="1:11" ht="23.1" customHeight="1" x14ac:dyDescent="0.2">
      <c r="A166" s="1496" t="s">
        <v>277</v>
      </c>
      <c r="B166" s="1496"/>
      <c r="C166" s="1496"/>
      <c r="D166" s="1496"/>
      <c r="E166" s="1496" t="s">
        <v>278</v>
      </c>
      <c r="F166" s="1496"/>
      <c r="G166" s="1496"/>
    </row>
    <row r="167" spans="1:11" ht="23.1" customHeight="1" x14ac:dyDescent="0.2">
      <c r="A167" s="1496" t="e">
        <f>VLOOKUP($D$164,'DATOS % '!$A$157:$D$160,4,FALSE)</f>
        <v>#N/A</v>
      </c>
      <c r="B167" s="1496"/>
      <c r="C167" s="1496"/>
      <c r="D167" s="1496"/>
      <c r="E167" s="1495" t="e">
        <f>VLOOKUP($G$164,'DATOS % '!A157:F160,6,FALSE)</f>
        <v>#N/A</v>
      </c>
      <c r="F167" s="1495"/>
      <c r="G167" s="1495"/>
    </row>
    <row r="168" spans="1:11" ht="23.1" customHeight="1" x14ac:dyDescent="0.2">
      <c r="A168" s="1495" t="e">
        <f>VLOOKUP($D$164,'DATOS % '!$A$157:$D$160,2,FALSE)</f>
        <v>#N/A</v>
      </c>
      <c r="B168" s="1495"/>
      <c r="C168" s="1495"/>
      <c r="D168" s="1495"/>
      <c r="E168" s="1495" t="e">
        <f>VLOOKUP($G$164,'DATOS % '!A157:F160,2,FALSE)</f>
        <v>#N/A</v>
      </c>
      <c r="F168" s="1495"/>
      <c r="G168" s="1495"/>
    </row>
    <row r="169" spans="1:11" ht="15" customHeight="1" x14ac:dyDescent="0.2">
      <c r="A169" s="637"/>
      <c r="B169" s="637"/>
      <c r="C169" s="637"/>
      <c r="D169" s="637"/>
      <c r="E169" s="637"/>
      <c r="F169" s="637"/>
      <c r="G169" s="637"/>
    </row>
    <row r="170" spans="1:11" ht="20.25" customHeight="1" x14ac:dyDescent="0.2"/>
    <row r="171" spans="1:11" ht="23.1" customHeight="1" x14ac:dyDescent="0.2">
      <c r="A171" s="1612" t="s">
        <v>248</v>
      </c>
      <c r="B171" s="1612"/>
      <c r="C171" s="704" t="s">
        <v>401</v>
      </c>
      <c r="E171" s="1497" t="s">
        <v>417</v>
      </c>
      <c r="F171" s="1497"/>
      <c r="G171" s="957" t="s">
        <v>401</v>
      </c>
    </row>
    <row r="172" spans="1:11" ht="15" customHeight="1" x14ac:dyDescent="0.2">
      <c r="C172" s="61"/>
    </row>
    <row r="173" spans="1:11" ht="23.1" customHeight="1" x14ac:dyDescent="0.25">
      <c r="A173" s="1492" t="s">
        <v>320</v>
      </c>
      <c r="B173" s="1492"/>
      <c r="C173" s="1492"/>
      <c r="D173" s="1492"/>
      <c r="E173" s="1492"/>
      <c r="F173" s="1492"/>
      <c r="G173" s="1492"/>
      <c r="K173" s="798"/>
    </row>
  </sheetData>
  <sheetProtection password="CF5C" sheet="1" objects="1" scenarios="1"/>
  <mergeCells count="129">
    <mergeCell ref="A168:D168"/>
    <mergeCell ref="E168:G168"/>
    <mergeCell ref="E171:F171"/>
    <mergeCell ref="A173:G173"/>
    <mergeCell ref="A165:D165"/>
    <mergeCell ref="E165:G165"/>
    <mergeCell ref="A166:D166"/>
    <mergeCell ref="E166:G166"/>
    <mergeCell ref="A167:D167"/>
    <mergeCell ref="E167:G167"/>
    <mergeCell ref="A171:B171"/>
    <mergeCell ref="B156:G156"/>
    <mergeCell ref="B157:G157"/>
    <mergeCell ref="B158:G158"/>
    <mergeCell ref="B159:G159"/>
    <mergeCell ref="A161:C161"/>
    <mergeCell ref="A163:G163"/>
    <mergeCell ref="B150:G150"/>
    <mergeCell ref="B151:G151"/>
    <mergeCell ref="B152:G152"/>
    <mergeCell ref="B153:G153"/>
    <mergeCell ref="B154:G154"/>
    <mergeCell ref="B155:G155"/>
    <mergeCell ref="A138:G138"/>
    <mergeCell ref="A143:G143"/>
    <mergeCell ref="E145:F145"/>
    <mergeCell ref="A147:D147"/>
    <mergeCell ref="A148:G148"/>
    <mergeCell ref="B149:G149"/>
    <mergeCell ref="A111:B111"/>
    <mergeCell ref="A112:B112"/>
    <mergeCell ref="A113:B113"/>
    <mergeCell ref="A131:G131"/>
    <mergeCell ref="A135:D135"/>
    <mergeCell ref="A136:F136"/>
    <mergeCell ref="A102:B102"/>
    <mergeCell ref="A103:B103"/>
    <mergeCell ref="A104:B104"/>
    <mergeCell ref="A105:B105"/>
    <mergeCell ref="A106:B106"/>
    <mergeCell ref="E110:F110"/>
    <mergeCell ref="A95:B95"/>
    <mergeCell ref="A96:B96"/>
    <mergeCell ref="A97:B97"/>
    <mergeCell ref="A98:B98"/>
    <mergeCell ref="A100:D100"/>
    <mergeCell ref="A101:B101"/>
    <mergeCell ref="A86:B86"/>
    <mergeCell ref="A88:G88"/>
    <mergeCell ref="A90:E90"/>
    <mergeCell ref="A92:D92"/>
    <mergeCell ref="A93:B93"/>
    <mergeCell ref="A94:B94"/>
    <mergeCell ref="A80:B80"/>
    <mergeCell ref="A81:B81"/>
    <mergeCell ref="A82:B82"/>
    <mergeCell ref="A83:B83"/>
    <mergeCell ref="A84:B84"/>
    <mergeCell ref="A85:B85"/>
    <mergeCell ref="A74:E74"/>
    <mergeCell ref="A75:B75"/>
    <mergeCell ref="A76:B76"/>
    <mergeCell ref="A77:B77"/>
    <mergeCell ref="A78:B78"/>
    <mergeCell ref="A79:B79"/>
    <mergeCell ref="A63:B63"/>
    <mergeCell ref="A64:C64"/>
    <mergeCell ref="A66:G67"/>
    <mergeCell ref="A69:G69"/>
    <mergeCell ref="E71:F71"/>
    <mergeCell ref="A72:C72"/>
    <mergeCell ref="A57:B57"/>
    <mergeCell ref="A58:B58"/>
    <mergeCell ref="A59:B59"/>
    <mergeCell ref="A60:B60"/>
    <mergeCell ref="A61:B61"/>
    <mergeCell ref="A62:B62"/>
    <mergeCell ref="D49:E49"/>
    <mergeCell ref="A50:C50"/>
    <mergeCell ref="D50:E50"/>
    <mergeCell ref="A52:G52"/>
    <mergeCell ref="A54:D54"/>
    <mergeCell ref="A56:D56"/>
    <mergeCell ref="B34:C34"/>
    <mergeCell ref="D34:E34"/>
    <mergeCell ref="F34:G34"/>
    <mergeCell ref="A46:C46"/>
    <mergeCell ref="D46:E46"/>
    <mergeCell ref="A47:C47"/>
    <mergeCell ref="D47:E47"/>
    <mergeCell ref="A48:C48"/>
    <mergeCell ref="D48:E48"/>
    <mergeCell ref="A37:G37"/>
    <mergeCell ref="E40:F40"/>
    <mergeCell ref="A41:G41"/>
    <mergeCell ref="A43:G43"/>
    <mergeCell ref="A45:C45"/>
    <mergeCell ref="D45:E45"/>
    <mergeCell ref="A26:C26"/>
    <mergeCell ref="D26:F26"/>
    <mergeCell ref="A28:G28"/>
    <mergeCell ref="A30:G30"/>
    <mergeCell ref="A32:G32"/>
    <mergeCell ref="A18:C18"/>
    <mergeCell ref="A19:C19"/>
    <mergeCell ref="A20:C20"/>
    <mergeCell ref="A21:C21"/>
    <mergeCell ref="A23:G23"/>
    <mergeCell ref="A24:G24"/>
    <mergeCell ref="A16:C16"/>
    <mergeCell ref="D16:G16"/>
    <mergeCell ref="A17:C17"/>
    <mergeCell ref="D17:E17"/>
    <mergeCell ref="A8:C8"/>
    <mergeCell ref="D8:E8"/>
    <mergeCell ref="A10:C10"/>
    <mergeCell ref="E10:F10"/>
    <mergeCell ref="A12:G12"/>
    <mergeCell ref="A14:C14"/>
    <mergeCell ref="D14:G14"/>
    <mergeCell ref="A1:G1"/>
    <mergeCell ref="E3:F3"/>
    <mergeCell ref="A4:D4"/>
    <mergeCell ref="A6:C6"/>
    <mergeCell ref="D6:G6"/>
    <mergeCell ref="A7:C7"/>
    <mergeCell ref="D7:G7"/>
    <mergeCell ref="A15:C15"/>
    <mergeCell ref="D15:E15"/>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
MODIFICACIÓN AL CERTIFICADO DE CALIBRACIÓN DE INSTRUMENTOS DE PESAJE DE FUNCIONAMIENTO NO AUTOMÁTICO - IPFNA&amp;R&amp;"-,Negrita"&amp;12
             </oddHeader>
    <oddFooter>&amp;R&amp;8
  RT03-F39  Vr.11 (2021-05-21)
Página  &amp;P de &amp;N</oddFooter>
  </headerFooter>
  <rowBreaks count="3" manualBreakCount="3">
    <brk id="68" max="6" man="1"/>
    <brk id="107" max="6" man="1"/>
    <brk id="14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'DATOS % '!$A$157:$A$160</xm:f>
          </x14:formula1>
          <xm:sqref>G164 D164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12"/>
  <sheetViews>
    <sheetView showGridLines="0" view="pageBreakPreview" zoomScaleNormal="70" zoomScaleSheetLayoutView="100" workbookViewId="0">
      <selection activeCell="C82" sqref="C82"/>
    </sheetView>
  </sheetViews>
  <sheetFormatPr baseColWidth="10" defaultColWidth="11.42578125" defaultRowHeight="15" x14ac:dyDescent="0.2"/>
  <cols>
    <col min="1" max="1" width="2.85546875" style="839" customWidth="1"/>
    <col min="2" max="3" width="12.140625" style="839" customWidth="1"/>
    <col min="4" max="4" width="7.85546875" style="839" customWidth="1"/>
    <col min="5" max="5" width="4.28515625" style="839" customWidth="1"/>
    <col min="6" max="6" width="10.140625" style="839" customWidth="1"/>
    <col min="7" max="7" width="18.28515625" style="839" customWidth="1"/>
    <col min="8" max="8" width="5.140625" style="839" customWidth="1"/>
    <col min="9" max="9" width="4.85546875" style="839" customWidth="1"/>
    <col min="10" max="10" width="18.5703125" style="839" customWidth="1"/>
    <col min="11" max="11" width="24" style="839" customWidth="1"/>
    <col min="12" max="12" width="10" style="839" customWidth="1"/>
    <col min="13" max="13" width="8.42578125" style="839" customWidth="1"/>
    <col min="14" max="14" width="5.140625" style="839" customWidth="1"/>
    <col min="15" max="16384" width="11.42578125" style="839"/>
  </cols>
  <sheetData>
    <row r="1" spans="2:14" ht="125.1" customHeight="1" x14ac:dyDescent="0.2">
      <c r="B1" s="970"/>
      <c r="C1" s="970"/>
      <c r="D1" s="970"/>
      <c r="E1" s="970"/>
      <c r="F1" s="970"/>
      <c r="G1" s="970"/>
      <c r="H1" s="970"/>
      <c r="I1" s="970"/>
      <c r="J1" s="970"/>
      <c r="K1" s="970"/>
      <c r="L1" s="970"/>
      <c r="M1" s="970"/>
      <c r="N1" s="970"/>
    </row>
    <row r="2" spans="2:14" ht="35.1" customHeight="1" x14ac:dyDescent="0.2">
      <c r="B2" s="970"/>
      <c r="C2" s="970"/>
      <c r="D2" s="970"/>
      <c r="E2" s="970"/>
      <c r="F2" s="970"/>
      <c r="G2" s="970"/>
      <c r="H2" s="970"/>
      <c r="I2" s="970"/>
      <c r="J2" s="970"/>
      <c r="K2" s="970"/>
      <c r="L2" s="970"/>
      <c r="M2" s="970"/>
      <c r="N2" s="970"/>
    </row>
    <row r="3" spans="2:14" ht="35.1" customHeight="1" x14ac:dyDescent="0.25">
      <c r="B3" s="869"/>
      <c r="C3" s="930"/>
      <c r="D3" s="869"/>
      <c r="E3" s="869"/>
      <c r="F3" s="869"/>
      <c r="G3" s="869"/>
      <c r="H3" s="848"/>
      <c r="J3" s="971" t="s">
        <v>494</v>
      </c>
      <c r="K3" s="972" t="e">
        <f>'RT03-F12 %'!I6</f>
        <v>#N/A</v>
      </c>
      <c r="L3" s="830"/>
      <c r="M3" s="1620"/>
      <c r="N3" s="1621"/>
    </row>
    <row r="4" spans="2:14" ht="20.100000000000001" customHeight="1" x14ac:dyDescent="0.25">
      <c r="B4" s="1621" t="s">
        <v>62</v>
      </c>
      <c r="C4" s="1621"/>
      <c r="D4" s="1621"/>
      <c r="E4" s="1621"/>
      <c r="F4" s="847"/>
      <c r="G4" s="847"/>
      <c r="I4" s="1622"/>
      <c r="J4" s="1622"/>
    </row>
    <row r="5" spans="2:14" ht="20.100000000000001" customHeight="1" x14ac:dyDescent="0.2">
      <c r="B5" s="876"/>
      <c r="C5" s="931"/>
      <c r="D5" s="847"/>
      <c r="E5" s="847"/>
      <c r="F5" s="847"/>
      <c r="G5" s="847"/>
      <c r="H5" s="847"/>
    </row>
    <row r="6" spans="2:14" ht="20.100000000000001" customHeight="1" x14ac:dyDescent="0.2">
      <c r="B6" s="1615" t="s">
        <v>495</v>
      </c>
      <c r="C6" s="1615"/>
      <c r="D6" s="1615"/>
      <c r="F6" s="1623" t="e">
        <f>'RT03-F12 %'!G6</f>
        <v>#N/A</v>
      </c>
      <c r="G6" s="1623"/>
      <c r="H6" s="1623"/>
      <c r="I6" s="1623"/>
      <c r="J6" s="1623"/>
      <c r="K6" s="1623"/>
      <c r="L6" s="1623"/>
    </row>
    <row r="7" spans="2:14" ht="20.100000000000001" customHeight="1" x14ac:dyDescent="0.2">
      <c r="B7" s="1615" t="s">
        <v>496</v>
      </c>
      <c r="C7" s="1615"/>
      <c r="D7" s="1615"/>
      <c r="E7" s="840"/>
      <c r="F7" s="1623" t="e">
        <f>'RT03-F12 %'!H6</f>
        <v>#N/A</v>
      </c>
      <c r="G7" s="1623"/>
      <c r="H7" s="1623"/>
      <c r="I7" s="1623"/>
      <c r="J7" s="1623"/>
      <c r="K7" s="1623"/>
      <c r="L7" s="1623"/>
    </row>
    <row r="8" spans="2:14" ht="20.100000000000001" customHeight="1" x14ac:dyDescent="0.2">
      <c r="B8" s="1615" t="s">
        <v>497</v>
      </c>
      <c r="C8" s="1615"/>
      <c r="D8" s="1615"/>
      <c r="F8" s="1623" t="e">
        <f>'RT03-F12 %'!B6</f>
        <v>#N/A</v>
      </c>
      <c r="G8" s="1623"/>
      <c r="H8" s="1623"/>
      <c r="I8" s="1623"/>
    </row>
    <row r="9" spans="2:14" ht="20.100000000000001" customHeight="1" x14ac:dyDescent="0.2">
      <c r="B9" s="876"/>
      <c r="C9" s="931"/>
      <c r="D9" s="876"/>
      <c r="F9" s="876"/>
      <c r="G9" s="876"/>
      <c r="H9" s="847"/>
    </row>
    <row r="10" spans="2:14" ht="20.100000000000001" customHeight="1" x14ac:dyDescent="0.2">
      <c r="B10" s="1615" t="s">
        <v>498</v>
      </c>
      <c r="C10" s="1615"/>
      <c r="D10" s="1615"/>
      <c r="E10" s="1615"/>
      <c r="F10" s="1619" t="e">
        <f>'RT03-F12 %'!C6</f>
        <v>#N/A</v>
      </c>
      <c r="G10" s="1619"/>
      <c r="H10" s="1624" t="s">
        <v>499</v>
      </c>
      <c r="I10" s="1624"/>
      <c r="J10" s="1624"/>
      <c r="K10" s="1619" t="e">
        <f>'RT03-F12 %'!F6</f>
        <v>#N/A</v>
      </c>
      <c r="L10" s="1619"/>
    </row>
    <row r="11" spans="2:14" ht="20.100000000000001" customHeight="1" x14ac:dyDescent="0.2">
      <c r="B11" s="847"/>
      <c r="C11" s="933"/>
      <c r="D11" s="847"/>
      <c r="E11" s="847"/>
      <c r="F11" s="847"/>
      <c r="G11" s="847"/>
      <c r="H11" s="847"/>
    </row>
    <row r="12" spans="2:14" ht="20.100000000000001" customHeight="1" x14ac:dyDescent="0.2">
      <c r="B12" s="1621" t="s">
        <v>500</v>
      </c>
      <c r="C12" s="1621"/>
      <c r="D12" s="1621"/>
      <c r="E12" s="1621"/>
      <c r="F12" s="1621"/>
      <c r="G12" s="1621"/>
      <c r="H12" s="1621"/>
      <c r="I12" s="1621"/>
      <c r="J12" s="1621"/>
      <c r="K12" s="1621"/>
      <c r="L12" s="1621"/>
    </row>
    <row r="13" spans="2:14" ht="20.100000000000001" customHeight="1" x14ac:dyDescent="0.2">
      <c r="B13" s="872"/>
      <c r="C13" s="932"/>
      <c r="D13" s="872"/>
      <c r="E13" s="872"/>
      <c r="F13" s="872"/>
      <c r="G13" s="872"/>
      <c r="H13" s="847"/>
    </row>
    <row r="14" spans="2:14" ht="20.100000000000001" customHeight="1" x14ac:dyDescent="0.2">
      <c r="B14" s="1615" t="s">
        <v>286</v>
      </c>
      <c r="C14" s="1615"/>
      <c r="D14" s="1615"/>
      <c r="E14" s="1615"/>
      <c r="F14" s="1613" t="s">
        <v>504</v>
      </c>
      <c r="G14" s="1613"/>
      <c r="H14" s="1613"/>
      <c r="I14" s="1613"/>
      <c r="J14" s="1613"/>
      <c r="K14" s="1613"/>
      <c r="L14" s="882"/>
    </row>
    <row r="15" spans="2:14" ht="20.100000000000001" customHeight="1" x14ac:dyDescent="0.2">
      <c r="B15" s="1615" t="s">
        <v>501</v>
      </c>
      <c r="C15" s="1615"/>
      <c r="D15" s="1615"/>
      <c r="E15" s="1615"/>
      <c r="F15" s="1616" t="e">
        <f>'RT03-F12 %'!D9</f>
        <v>#N/A</v>
      </c>
      <c r="G15" s="1617"/>
      <c r="H15" s="1617"/>
      <c r="I15" s="1617"/>
      <c r="J15" s="876"/>
      <c r="K15" s="876"/>
      <c r="L15" s="876"/>
    </row>
    <row r="16" spans="2:14" ht="20.100000000000001" customHeight="1" x14ac:dyDescent="0.2">
      <c r="B16" s="848" t="s">
        <v>8</v>
      </c>
      <c r="C16" s="848"/>
      <c r="F16" s="1618" t="e">
        <f>'RT03-F12 %'!D10</f>
        <v>#N/A</v>
      </c>
      <c r="G16" s="1618"/>
      <c r="H16" s="1618"/>
      <c r="I16" s="1618"/>
      <c r="J16" s="876"/>
      <c r="K16" s="876"/>
      <c r="L16" s="876"/>
    </row>
    <row r="17" spans="2:12" ht="20.100000000000001" customHeight="1" x14ac:dyDescent="0.2">
      <c r="B17" s="1615" t="s">
        <v>387</v>
      </c>
      <c r="C17" s="1615"/>
      <c r="D17" s="1615"/>
      <c r="E17" s="1615"/>
      <c r="F17" s="1618" t="e">
        <f>'RT03-F12 %'!D11</f>
        <v>#N/A</v>
      </c>
      <c r="G17" s="1617"/>
      <c r="H17" s="1619"/>
      <c r="I17" s="1619"/>
    </row>
    <row r="18" spans="2:12" ht="20.100000000000001" customHeight="1" x14ac:dyDescent="0.2">
      <c r="B18" s="1614" t="s">
        <v>490</v>
      </c>
      <c r="C18" s="1614"/>
      <c r="D18" s="1614"/>
      <c r="E18" s="876"/>
      <c r="F18" s="878" t="e">
        <f>'RT03-F12 %'!D12</f>
        <v>#N/A</v>
      </c>
      <c r="G18" s="874"/>
      <c r="H18" s="875"/>
      <c r="I18" s="875"/>
    </row>
    <row r="19" spans="2:12" ht="20.100000000000001" customHeight="1" x14ac:dyDescent="0.2">
      <c r="B19" s="1614" t="s">
        <v>491</v>
      </c>
      <c r="C19" s="1614"/>
      <c r="D19" s="1614"/>
      <c r="E19" s="876"/>
      <c r="F19" s="879" t="e">
        <f>'RT03-F12 %'!D13</f>
        <v>#N/A</v>
      </c>
      <c r="G19" s="874"/>
      <c r="H19" s="875"/>
      <c r="I19" s="875"/>
    </row>
    <row r="20" spans="2:12" ht="20.100000000000001" customHeight="1" x14ac:dyDescent="0.2">
      <c r="B20" s="1614" t="s">
        <v>492</v>
      </c>
      <c r="C20" s="1614"/>
      <c r="D20" s="1614"/>
      <c r="E20" s="876"/>
      <c r="F20" s="880" t="e">
        <f>'RT03-F12 %'!D14</f>
        <v>#N/A</v>
      </c>
      <c r="G20" s="874"/>
      <c r="H20" s="875"/>
      <c r="I20" s="875"/>
    </row>
    <row r="21" spans="2:12" ht="20.100000000000001" customHeight="1" x14ac:dyDescent="0.2">
      <c r="B21" s="1614" t="s">
        <v>493</v>
      </c>
      <c r="C21" s="1614"/>
      <c r="D21" s="1627"/>
      <c r="E21" s="1627"/>
      <c r="F21" s="879" t="e">
        <f>'RT03-F12 %'!D15</f>
        <v>#N/A</v>
      </c>
      <c r="G21" s="874"/>
      <c r="H21" s="875"/>
      <c r="I21" s="875"/>
    </row>
    <row r="22" spans="2:12" ht="20.100000000000001" customHeight="1" x14ac:dyDescent="0.2">
      <c r="B22" s="876"/>
      <c r="C22" s="931"/>
      <c r="D22" s="876"/>
      <c r="E22" s="876"/>
      <c r="F22" s="873"/>
      <c r="G22" s="874"/>
      <c r="H22" s="875"/>
      <c r="I22" s="875"/>
    </row>
    <row r="23" spans="2:12" ht="20.100000000000001" customHeight="1" x14ac:dyDescent="0.2">
      <c r="B23" s="1621" t="s">
        <v>544</v>
      </c>
      <c r="C23" s="1621"/>
      <c r="D23" s="1621"/>
      <c r="E23" s="842"/>
      <c r="F23" s="1638">
        <v>0</v>
      </c>
      <c r="G23" s="1638"/>
      <c r="H23" s="1638"/>
    </row>
    <row r="24" spans="2:12" ht="20.100000000000001" customHeight="1" x14ac:dyDescent="0.25">
      <c r="B24" s="876"/>
      <c r="C24" s="931"/>
      <c r="D24" s="876"/>
      <c r="E24" s="876"/>
      <c r="F24" s="876"/>
      <c r="G24" s="876"/>
      <c r="H24" s="876"/>
      <c r="I24" s="877"/>
      <c r="J24" s="877"/>
      <c r="K24" s="847"/>
      <c r="L24" s="847"/>
    </row>
    <row r="25" spans="2:12" ht="20.100000000000001" customHeight="1" x14ac:dyDescent="0.2">
      <c r="B25" s="841" t="s">
        <v>545</v>
      </c>
      <c r="C25" s="841"/>
      <c r="D25" s="841"/>
      <c r="E25" s="841"/>
      <c r="F25" s="841"/>
      <c r="G25" s="841"/>
      <c r="H25" s="841"/>
      <c r="I25" s="841"/>
      <c r="J25" s="841"/>
      <c r="K25" s="841"/>
      <c r="L25" s="841"/>
    </row>
    <row r="26" spans="2:12" ht="20.100000000000001" customHeight="1" x14ac:dyDescent="0.2">
      <c r="B26" s="871"/>
      <c r="C26" s="934"/>
      <c r="D26" s="871"/>
      <c r="E26" s="871"/>
      <c r="F26" s="871"/>
      <c r="G26" s="871"/>
      <c r="H26" s="871"/>
      <c r="I26" s="871"/>
      <c r="J26" s="871"/>
      <c r="K26" s="871"/>
      <c r="L26" s="871"/>
    </row>
    <row r="27" spans="2:12" ht="20.100000000000001" customHeight="1" x14ac:dyDescent="0.2">
      <c r="B27" s="934"/>
      <c r="C27" s="934"/>
      <c r="D27" s="934"/>
      <c r="E27" s="934"/>
      <c r="F27" s="934"/>
      <c r="G27" s="934"/>
      <c r="H27" s="934"/>
      <c r="I27" s="934"/>
      <c r="J27" s="934"/>
      <c r="K27" s="934"/>
      <c r="L27" s="934"/>
    </row>
    <row r="28" spans="2:12" ht="20.100000000000001" customHeight="1" x14ac:dyDescent="0.2">
      <c r="B28" s="934"/>
      <c r="C28" s="934"/>
      <c r="D28" s="934"/>
      <c r="E28" s="934"/>
      <c r="F28" s="934"/>
      <c r="G28" s="934"/>
      <c r="H28" s="934"/>
      <c r="I28" s="934"/>
      <c r="J28" s="934"/>
      <c r="K28" s="934"/>
      <c r="L28" s="934"/>
    </row>
    <row r="29" spans="2:12" ht="20.100000000000001" customHeight="1" x14ac:dyDescent="0.2">
      <c r="B29" s="934"/>
      <c r="C29" s="934"/>
      <c r="D29" s="934"/>
      <c r="E29" s="934"/>
      <c r="F29" s="934"/>
      <c r="G29" s="934"/>
      <c r="H29" s="934"/>
      <c r="I29" s="934"/>
      <c r="J29" s="934"/>
      <c r="K29" s="934"/>
      <c r="L29" s="934"/>
    </row>
    <row r="30" spans="2:12" ht="20.100000000000001" customHeight="1" x14ac:dyDescent="0.2">
      <c r="B30" s="934"/>
      <c r="C30" s="934"/>
      <c r="D30" s="934"/>
      <c r="E30" s="934"/>
      <c r="F30" s="934"/>
      <c r="G30" s="934"/>
      <c r="H30" s="934"/>
      <c r="I30" s="934"/>
      <c r="J30" s="934"/>
      <c r="K30" s="934"/>
      <c r="L30" s="934"/>
    </row>
    <row r="31" spans="2:12" ht="20.100000000000001" customHeight="1" x14ac:dyDescent="0.2">
      <c r="B31" s="934"/>
      <c r="C31" s="934"/>
      <c r="D31" s="934"/>
      <c r="E31" s="934"/>
      <c r="F31" s="934"/>
      <c r="G31" s="934"/>
      <c r="H31" s="934"/>
      <c r="I31" s="934"/>
      <c r="J31" s="934"/>
      <c r="K31" s="934"/>
      <c r="L31" s="934"/>
    </row>
    <row r="32" spans="2:12" ht="20.100000000000001" customHeight="1" x14ac:dyDescent="0.2">
      <c r="B32" s="934"/>
      <c r="C32" s="934"/>
      <c r="D32" s="934"/>
      <c r="E32" s="934"/>
      <c r="F32" s="934"/>
      <c r="G32" s="934"/>
      <c r="H32" s="934"/>
      <c r="I32" s="934"/>
      <c r="J32" s="934"/>
      <c r="K32" s="934"/>
      <c r="L32" s="934"/>
    </row>
    <row r="33" spans="2:14" ht="20.100000000000001" customHeight="1" x14ac:dyDescent="0.2">
      <c r="B33" s="934"/>
      <c r="C33" s="934"/>
      <c r="D33" s="934"/>
      <c r="E33" s="934"/>
      <c r="F33" s="934"/>
      <c r="G33" s="934"/>
      <c r="H33" s="934"/>
      <c r="I33" s="934"/>
      <c r="J33" s="934"/>
      <c r="K33" s="934"/>
      <c r="L33" s="934"/>
    </row>
    <row r="34" spans="2:14" ht="20.100000000000001" customHeight="1" x14ac:dyDescent="0.2">
      <c r="B34" s="934"/>
      <c r="C34" s="934"/>
      <c r="D34" s="934"/>
      <c r="E34" s="934"/>
      <c r="F34" s="934"/>
      <c r="G34" s="934"/>
      <c r="H34" s="934"/>
      <c r="I34" s="934"/>
      <c r="J34" s="934"/>
      <c r="K34" s="934"/>
      <c r="L34" s="934"/>
    </row>
    <row r="35" spans="2:14" ht="20.100000000000001" customHeight="1" x14ac:dyDescent="0.2">
      <c r="B35" s="934"/>
      <c r="C35" s="934"/>
      <c r="D35" s="934"/>
      <c r="E35" s="934"/>
      <c r="F35" s="934"/>
      <c r="G35" s="934"/>
      <c r="H35" s="934"/>
      <c r="I35" s="934"/>
      <c r="J35" s="934"/>
      <c r="K35" s="934"/>
      <c r="L35" s="934"/>
    </row>
    <row r="36" spans="2:14" ht="20.100000000000001" customHeight="1" x14ac:dyDescent="0.2">
      <c r="B36" s="934"/>
      <c r="C36" s="934"/>
      <c r="D36" s="934"/>
      <c r="E36" s="934"/>
      <c r="F36" s="934"/>
      <c r="G36" s="934"/>
      <c r="H36" s="934"/>
      <c r="I36" s="934"/>
      <c r="J36" s="934"/>
      <c r="K36" s="934"/>
      <c r="L36" s="934"/>
    </row>
    <row r="37" spans="2:14" ht="20.100000000000001" customHeight="1" x14ac:dyDescent="0.2">
      <c r="B37" s="934"/>
      <c r="C37" s="934"/>
      <c r="D37" s="934"/>
      <c r="E37" s="934"/>
      <c r="F37" s="934"/>
      <c r="G37" s="934"/>
      <c r="H37" s="934"/>
      <c r="I37" s="934"/>
      <c r="J37" s="934"/>
      <c r="K37" s="934"/>
      <c r="L37" s="934"/>
    </row>
    <row r="38" spans="2:14" ht="20.100000000000001" customHeight="1" x14ac:dyDescent="0.2">
      <c r="B38" s="934"/>
      <c r="C38" s="934"/>
      <c r="D38" s="934"/>
      <c r="E38" s="934"/>
      <c r="F38" s="934"/>
      <c r="G38" s="934"/>
      <c r="H38" s="934"/>
      <c r="I38" s="934"/>
      <c r="J38" s="934"/>
      <c r="K38" s="934"/>
      <c r="L38" s="934"/>
    </row>
    <row r="39" spans="2:14" ht="20.100000000000001" customHeight="1" x14ac:dyDescent="0.2">
      <c r="B39" s="871"/>
      <c r="C39" s="934"/>
      <c r="D39" s="871"/>
      <c r="E39" s="871"/>
      <c r="F39" s="871"/>
      <c r="G39" s="871"/>
      <c r="H39" s="871"/>
      <c r="I39" s="871"/>
      <c r="J39" s="871"/>
      <c r="K39" s="871"/>
      <c r="L39" s="871"/>
    </row>
    <row r="40" spans="2:14" ht="20.100000000000001" customHeight="1" x14ac:dyDescent="0.2">
      <c r="B40" s="871"/>
      <c r="C40" s="934"/>
      <c r="D40" s="871"/>
      <c r="E40" s="871"/>
      <c r="F40" s="871"/>
      <c r="G40" s="871"/>
      <c r="H40" s="871"/>
      <c r="I40" s="871"/>
      <c r="J40" s="871"/>
      <c r="K40" s="871"/>
      <c r="L40" s="871"/>
    </row>
    <row r="41" spans="2:14" ht="20.100000000000001" customHeight="1" x14ac:dyDescent="0.2">
      <c r="B41" s="934"/>
      <c r="C41" s="934"/>
      <c r="D41" s="934"/>
      <c r="E41" s="934"/>
      <c r="F41" s="934"/>
      <c r="G41" s="934"/>
      <c r="H41" s="934"/>
      <c r="I41" s="934"/>
      <c r="J41" s="934"/>
      <c r="K41" s="934"/>
      <c r="L41" s="934"/>
    </row>
    <row r="42" spans="2:14" ht="20.100000000000001" customHeight="1" x14ac:dyDescent="0.2">
      <c r="B42" s="934"/>
      <c r="C42" s="934"/>
      <c r="D42" s="934"/>
      <c r="E42" s="934"/>
      <c r="F42" s="934"/>
      <c r="G42" s="934"/>
      <c r="H42" s="934"/>
      <c r="I42" s="934"/>
      <c r="J42" s="934"/>
      <c r="K42" s="934"/>
      <c r="L42" s="934"/>
    </row>
    <row r="43" spans="2:14" ht="125.1" customHeight="1" x14ac:dyDescent="0.2">
      <c r="B43" s="1630"/>
      <c r="C43" s="1630"/>
      <c r="D43" s="1630"/>
      <c r="E43" s="1630"/>
      <c r="F43" s="1630"/>
      <c r="G43" s="1630"/>
      <c r="H43" s="1630"/>
      <c r="I43" s="1630"/>
      <c r="J43" s="1630"/>
      <c r="K43" s="1630"/>
      <c r="L43" s="1630"/>
      <c r="M43" s="1630"/>
      <c r="N43" s="1630"/>
    </row>
    <row r="44" spans="2:14" ht="35.1" customHeight="1" x14ac:dyDescent="0.2">
      <c r="B44" s="930"/>
      <c r="C44" s="930"/>
      <c r="D44" s="930"/>
      <c r="E44" s="930"/>
      <c r="F44" s="930"/>
      <c r="G44" s="930"/>
      <c r="H44" s="930"/>
      <c r="I44" s="930"/>
      <c r="J44" s="930"/>
      <c r="K44" s="930"/>
      <c r="L44" s="930"/>
      <c r="M44" s="930"/>
      <c r="N44" s="930"/>
    </row>
    <row r="45" spans="2:14" ht="35.1" customHeight="1" x14ac:dyDescent="0.2">
      <c r="J45" s="979" t="str">
        <f>J3</f>
        <v>Informe N°</v>
      </c>
      <c r="K45" s="980" t="e">
        <f>K3</f>
        <v>#N/A</v>
      </c>
    </row>
    <row r="47" spans="2:14" ht="20.100000000000001" customHeight="1" x14ac:dyDescent="0.25">
      <c r="B47" s="845"/>
      <c r="C47" s="845"/>
      <c r="I47" s="877"/>
      <c r="J47" s="877"/>
      <c r="K47" s="869"/>
      <c r="L47" s="869"/>
    </row>
    <row r="48" spans="2:14" ht="20.100000000000001" customHeight="1" x14ac:dyDescent="0.25">
      <c r="I48" s="877"/>
      <c r="J48" s="877"/>
      <c r="K48" s="869"/>
      <c r="L48" s="869"/>
    </row>
    <row r="49" spans="2:12" ht="20.100000000000001" customHeight="1" x14ac:dyDescent="0.2">
      <c r="B49" s="871"/>
      <c r="C49" s="934"/>
      <c r="D49" s="871"/>
      <c r="E49" s="871"/>
      <c r="F49" s="871"/>
      <c r="G49" s="871"/>
      <c r="H49" s="871"/>
      <c r="I49" s="871"/>
      <c r="J49" s="871"/>
      <c r="K49" s="871"/>
      <c r="L49" s="871"/>
    </row>
    <row r="50" spans="2:12" ht="20.100000000000001" customHeight="1" x14ac:dyDescent="0.2">
      <c r="B50" s="871"/>
      <c r="C50" s="934"/>
      <c r="D50" s="871"/>
      <c r="E50" s="871"/>
      <c r="F50" s="871"/>
      <c r="G50" s="871"/>
      <c r="H50" s="871"/>
      <c r="I50" s="871"/>
      <c r="J50" s="871"/>
      <c r="K50" s="871"/>
      <c r="L50" s="871"/>
    </row>
    <row r="51" spans="2:12" ht="20.100000000000001" customHeight="1" x14ac:dyDescent="0.2">
      <c r="B51" s="871"/>
      <c r="C51" s="934"/>
      <c r="D51" s="871"/>
      <c r="E51" s="871"/>
      <c r="F51" s="871"/>
      <c r="G51" s="871"/>
      <c r="H51" s="871"/>
      <c r="I51" s="871"/>
      <c r="J51" s="871"/>
      <c r="K51" s="871"/>
      <c r="L51" s="871"/>
    </row>
    <row r="52" spans="2:12" ht="20.100000000000001" customHeight="1" x14ac:dyDescent="0.2">
      <c r="B52" s="871"/>
      <c r="C52" s="934"/>
      <c r="D52" s="871"/>
      <c r="E52" s="871"/>
      <c r="F52" s="871"/>
      <c r="G52" s="871"/>
      <c r="H52" s="871"/>
      <c r="I52" s="871"/>
      <c r="J52" s="871"/>
      <c r="K52" s="871"/>
      <c r="L52" s="871"/>
    </row>
    <row r="53" spans="2:12" ht="20.100000000000001" customHeight="1" x14ac:dyDescent="0.2">
      <c r="B53" s="871"/>
      <c r="C53" s="934"/>
      <c r="D53" s="871"/>
      <c r="E53" s="871"/>
      <c r="F53" s="871"/>
      <c r="G53" s="871"/>
      <c r="H53" s="871"/>
      <c r="I53" s="871"/>
      <c r="J53" s="871"/>
      <c r="K53" s="871"/>
      <c r="L53" s="871"/>
    </row>
    <row r="54" spans="2:12" ht="20.100000000000001" customHeight="1" x14ac:dyDescent="0.2">
      <c r="B54" s="871"/>
      <c r="C54" s="934"/>
      <c r="D54" s="871"/>
      <c r="E54" s="871"/>
      <c r="F54" s="871"/>
      <c r="G54" s="871"/>
      <c r="H54" s="871"/>
      <c r="I54" s="871"/>
      <c r="J54" s="871"/>
      <c r="K54" s="871"/>
      <c r="L54" s="871"/>
    </row>
    <row r="55" spans="2:12" ht="20.100000000000001" customHeight="1" x14ac:dyDescent="0.2">
      <c r="B55" s="871"/>
      <c r="C55" s="934"/>
      <c r="D55" s="871"/>
      <c r="E55" s="871"/>
      <c r="F55" s="871"/>
      <c r="G55" s="871"/>
      <c r="H55" s="871"/>
      <c r="I55" s="871"/>
      <c r="J55" s="871"/>
      <c r="K55" s="871"/>
      <c r="L55" s="871"/>
    </row>
    <row r="56" spans="2:12" ht="20.100000000000001" customHeight="1" x14ac:dyDescent="0.2">
      <c r="B56" s="871"/>
      <c r="C56" s="934"/>
      <c r="D56" s="871"/>
      <c r="E56" s="871"/>
      <c r="F56" s="871"/>
      <c r="G56" s="871"/>
      <c r="H56" s="871"/>
      <c r="I56" s="871"/>
      <c r="J56" s="871"/>
      <c r="K56" s="871"/>
      <c r="L56" s="871"/>
    </row>
    <row r="57" spans="2:12" ht="20.100000000000001" customHeight="1" x14ac:dyDescent="0.2">
      <c r="B57" s="871"/>
      <c r="C57" s="934"/>
      <c r="D57" s="871"/>
      <c r="E57" s="871"/>
      <c r="F57" s="871"/>
      <c r="G57" s="871"/>
      <c r="H57" s="871"/>
      <c r="I57" s="871"/>
      <c r="J57" s="871"/>
      <c r="K57" s="871"/>
      <c r="L57" s="871"/>
    </row>
    <row r="58" spans="2:12" ht="20.100000000000001" customHeight="1" x14ac:dyDescent="0.2">
      <c r="B58" s="871"/>
      <c r="C58" s="934"/>
      <c r="D58" s="871"/>
      <c r="E58" s="871"/>
      <c r="F58" s="871"/>
      <c r="G58" s="871"/>
      <c r="H58" s="871"/>
      <c r="I58" s="871"/>
      <c r="J58" s="871"/>
      <c r="K58" s="871"/>
      <c r="L58" s="871"/>
    </row>
    <row r="59" spans="2:12" ht="20.100000000000001" customHeight="1" x14ac:dyDescent="0.2">
      <c r="B59" s="871"/>
      <c r="C59" s="934"/>
      <c r="D59" s="871"/>
      <c r="E59" s="871"/>
      <c r="F59" s="871"/>
      <c r="G59" s="871"/>
      <c r="H59" s="871"/>
      <c r="I59" s="871"/>
      <c r="J59" s="871"/>
      <c r="K59" s="871"/>
      <c r="L59" s="871"/>
    </row>
    <row r="60" spans="2:12" ht="20.100000000000001" customHeight="1" x14ac:dyDescent="0.2">
      <c r="B60" s="871"/>
      <c r="C60" s="934"/>
      <c r="D60" s="871"/>
      <c r="E60" s="871"/>
      <c r="F60" s="871"/>
      <c r="G60" s="871"/>
      <c r="H60" s="871"/>
      <c r="I60" s="871"/>
      <c r="J60" s="871"/>
      <c r="K60" s="871"/>
      <c r="L60" s="871"/>
    </row>
    <row r="61" spans="2:12" ht="20.100000000000001" customHeight="1" x14ac:dyDescent="0.2">
      <c r="B61" s="871"/>
      <c r="C61" s="934"/>
      <c r="D61" s="871"/>
      <c r="E61" s="871"/>
      <c r="F61" s="871"/>
      <c r="G61" s="871"/>
      <c r="H61" s="871"/>
      <c r="I61" s="871"/>
      <c r="J61" s="871"/>
      <c r="K61" s="871"/>
      <c r="L61" s="871"/>
    </row>
    <row r="62" spans="2:12" ht="20.100000000000001" customHeight="1" x14ac:dyDescent="0.2">
      <c r="B62" s="871"/>
      <c r="C62" s="934"/>
      <c r="D62" s="871"/>
      <c r="E62" s="871"/>
      <c r="F62" s="871"/>
      <c r="G62" s="871"/>
      <c r="H62" s="871"/>
      <c r="I62" s="871"/>
      <c r="J62" s="871"/>
      <c r="K62" s="871"/>
      <c r="L62" s="871"/>
    </row>
    <row r="63" spans="2:12" ht="20.100000000000001" customHeight="1" x14ac:dyDescent="0.2">
      <c r="B63" s="871"/>
      <c r="C63" s="934"/>
      <c r="D63" s="871"/>
      <c r="E63" s="871"/>
      <c r="F63" s="871"/>
      <c r="G63" s="871"/>
      <c r="H63" s="871"/>
      <c r="I63" s="871"/>
      <c r="J63" s="871"/>
      <c r="K63" s="871"/>
      <c r="L63" s="871"/>
    </row>
    <row r="64" spans="2:12" ht="20.100000000000001" customHeight="1" x14ac:dyDescent="0.2">
      <c r="B64" s="871"/>
      <c r="C64" s="934"/>
      <c r="D64" s="871"/>
      <c r="E64" s="871"/>
      <c r="F64" s="871"/>
      <c r="G64" s="871"/>
      <c r="H64" s="871"/>
      <c r="I64" s="871"/>
      <c r="J64" s="871"/>
      <c r="K64" s="871"/>
      <c r="L64" s="871"/>
    </row>
    <row r="65" spans="1:15" ht="20.100000000000001" customHeight="1" x14ac:dyDescent="0.2">
      <c r="B65" s="871"/>
      <c r="C65" s="934"/>
      <c r="D65" s="871"/>
      <c r="E65" s="871"/>
      <c r="F65" s="871"/>
      <c r="G65" s="871"/>
      <c r="H65" s="871"/>
      <c r="I65" s="871"/>
      <c r="J65" s="871"/>
      <c r="K65" s="871"/>
      <c r="L65" s="871"/>
    </row>
    <row r="66" spans="1:15" ht="20.100000000000001" customHeight="1" x14ac:dyDescent="0.2">
      <c r="B66" s="871"/>
      <c r="C66" s="934"/>
      <c r="D66" s="871"/>
      <c r="E66" s="871"/>
      <c r="F66" s="871"/>
      <c r="G66" s="871"/>
      <c r="H66" s="871"/>
      <c r="I66" s="871"/>
      <c r="J66" s="871"/>
      <c r="K66" s="871"/>
      <c r="L66" s="871"/>
    </row>
    <row r="67" spans="1:15" ht="20.100000000000001" customHeight="1" x14ac:dyDescent="0.2">
      <c r="B67" s="848"/>
      <c r="C67" s="848"/>
    </row>
    <row r="68" spans="1:15" ht="20.100000000000001" customHeight="1" x14ac:dyDescent="0.2">
      <c r="E68" s="840"/>
      <c r="F68" s="840"/>
      <c r="G68" s="840"/>
      <c r="H68" s="840"/>
      <c r="I68" s="840"/>
      <c r="J68" s="840"/>
      <c r="K68" s="840"/>
      <c r="L68" s="840"/>
      <c r="M68" s="840"/>
      <c r="N68" s="840"/>
      <c r="O68" s="840"/>
    </row>
    <row r="69" spans="1:15" ht="20.100000000000001" customHeight="1" x14ac:dyDescent="0.2">
      <c r="B69" s="840"/>
      <c r="C69" s="840"/>
      <c r="D69" s="840"/>
      <c r="E69" s="840"/>
      <c r="F69" s="840"/>
      <c r="G69" s="840"/>
      <c r="H69" s="840"/>
      <c r="I69" s="840"/>
      <c r="J69" s="840"/>
      <c r="K69" s="840"/>
      <c r="L69" s="840"/>
      <c r="M69" s="840"/>
      <c r="N69" s="840"/>
      <c r="O69" s="840"/>
    </row>
    <row r="70" spans="1:15" ht="20.100000000000001" customHeight="1" x14ac:dyDescent="0.2">
      <c r="B70" s="840"/>
      <c r="C70" s="840"/>
      <c r="D70" s="840"/>
      <c r="E70" s="840"/>
      <c r="F70" s="840"/>
      <c r="G70" s="840"/>
      <c r="H70" s="840"/>
      <c r="I70" s="840"/>
      <c r="J70" s="840"/>
      <c r="K70" s="840"/>
      <c r="O70" s="842"/>
    </row>
    <row r="71" spans="1:15" ht="20.100000000000001" customHeight="1" x14ac:dyDescent="0.2">
      <c r="B71" s="843"/>
      <c r="C71" s="843"/>
      <c r="D71" s="843"/>
      <c r="E71" s="843"/>
      <c r="F71" s="843"/>
      <c r="G71" s="843"/>
      <c r="M71" s="1628"/>
      <c r="N71" s="1628"/>
    </row>
    <row r="72" spans="1:15" ht="20.100000000000001" customHeight="1" x14ac:dyDescent="0.2">
      <c r="E72" s="870"/>
      <c r="F72" s="844"/>
      <c r="G72" s="870"/>
      <c r="H72" s="870"/>
      <c r="I72" s="870"/>
    </row>
    <row r="73" spans="1:15" ht="125.1" customHeight="1" x14ac:dyDescent="0.2">
      <c r="A73" s="1630"/>
      <c r="B73" s="1630"/>
      <c r="C73" s="1630"/>
      <c r="D73" s="1630"/>
      <c r="E73" s="1630"/>
      <c r="F73" s="1630"/>
      <c r="G73" s="1630"/>
      <c r="H73" s="1630"/>
      <c r="I73" s="1630"/>
      <c r="J73" s="1630"/>
      <c r="K73" s="1630"/>
      <c r="L73" s="970"/>
      <c r="M73" s="970"/>
      <c r="N73" s="970"/>
    </row>
    <row r="74" spans="1:15" ht="35.1" customHeight="1" x14ac:dyDescent="0.2">
      <c r="A74" s="1630"/>
      <c r="B74" s="1630"/>
      <c r="C74" s="1630"/>
      <c r="D74" s="1630"/>
      <c r="E74" s="1630"/>
      <c r="F74" s="1630"/>
      <c r="G74" s="1630"/>
      <c r="H74" s="1630"/>
      <c r="I74" s="1630"/>
      <c r="J74" s="1630"/>
      <c r="K74" s="1630"/>
      <c r="L74" s="930"/>
      <c r="M74" s="930"/>
      <c r="N74" s="930"/>
    </row>
    <row r="75" spans="1:15" ht="20.100000000000001" customHeight="1" x14ac:dyDescent="0.2">
      <c r="B75" s="848"/>
      <c r="C75" s="848"/>
      <c r="D75" s="848"/>
      <c r="J75" s="979" t="str">
        <f>J$3</f>
        <v>Informe N°</v>
      </c>
      <c r="K75" s="978" t="e">
        <f>$K3</f>
        <v>#N/A</v>
      </c>
    </row>
    <row r="76" spans="1:15" ht="18.600000000000001" customHeight="1" x14ac:dyDescent="0.2">
      <c r="B76" s="1642" t="s">
        <v>547</v>
      </c>
      <c r="C76" s="1642"/>
      <c r="D76" s="1642"/>
      <c r="E76" s="840"/>
      <c r="F76" s="840"/>
      <c r="G76" s="840"/>
      <c r="H76" s="840"/>
      <c r="I76" s="840"/>
      <c r="J76" s="840"/>
      <c r="K76" s="840"/>
      <c r="L76" s="840"/>
      <c r="M76" s="840"/>
      <c r="N76" s="840"/>
      <c r="O76" s="840"/>
    </row>
    <row r="77" spans="1:15" ht="15.75" customHeight="1" x14ac:dyDescent="0.2">
      <c r="B77" s="1633"/>
      <c r="C77" s="1633"/>
      <c r="D77" s="1634"/>
      <c r="E77" s="1634"/>
      <c r="F77" s="1634"/>
      <c r="G77" s="1634"/>
      <c r="H77" s="1634"/>
      <c r="I77" s="1634"/>
      <c r="J77" s="1634"/>
      <c r="K77" s="1634"/>
      <c r="L77" s="840"/>
      <c r="M77" s="840"/>
      <c r="N77" s="840"/>
      <c r="O77" s="840"/>
    </row>
    <row r="78" spans="1:15" ht="45.75" customHeight="1" x14ac:dyDescent="0.2">
      <c r="A78" s="981" t="s">
        <v>409</v>
      </c>
      <c r="B78" s="1640" t="s">
        <v>546</v>
      </c>
      <c r="C78" s="1640"/>
      <c r="D78" s="1641"/>
      <c r="E78" s="1641"/>
      <c r="F78" s="1641"/>
      <c r="G78" s="1641"/>
      <c r="H78" s="1641"/>
      <c r="I78" s="1641"/>
      <c r="J78" s="1641"/>
      <c r="K78" s="1641"/>
      <c r="L78" s="840"/>
      <c r="M78" s="840"/>
      <c r="N78" s="840"/>
      <c r="O78" s="840"/>
    </row>
    <row r="79" spans="1:15" ht="18.600000000000001" customHeight="1" x14ac:dyDescent="0.2">
      <c r="A79" s="933"/>
      <c r="B79" s="842"/>
      <c r="C79" s="842"/>
      <c r="D79" s="842"/>
      <c r="E79" s="840"/>
      <c r="F79" s="840"/>
      <c r="G79" s="840"/>
      <c r="H79" s="840"/>
      <c r="I79" s="840"/>
      <c r="J79" s="840"/>
      <c r="K79" s="840"/>
      <c r="L79" s="840"/>
      <c r="M79" s="840"/>
      <c r="N79" s="840"/>
      <c r="O79" s="840"/>
    </row>
    <row r="80" spans="1:15" ht="18.600000000000001" customHeight="1" x14ac:dyDescent="0.2">
      <c r="A80" s="933"/>
      <c r="B80" s="842"/>
      <c r="C80" s="842"/>
      <c r="D80" s="842"/>
      <c r="E80" s="840"/>
      <c r="F80" s="840"/>
      <c r="G80" s="840"/>
      <c r="H80" s="840"/>
      <c r="I80" s="840"/>
      <c r="J80" s="840"/>
      <c r="K80" s="840"/>
      <c r="L80" s="840"/>
      <c r="M80" s="840"/>
      <c r="N80" s="840"/>
      <c r="O80" s="840"/>
    </row>
    <row r="81" spans="1:15" ht="18.600000000000001" customHeight="1" x14ac:dyDescent="0.2">
      <c r="A81" s="933"/>
      <c r="B81" s="842"/>
      <c r="C81" s="842"/>
      <c r="D81" s="842"/>
      <c r="E81" s="840"/>
      <c r="F81" s="840"/>
      <c r="G81" s="840"/>
      <c r="H81" s="840"/>
      <c r="I81" s="840"/>
      <c r="J81" s="840"/>
      <c r="K81" s="840"/>
      <c r="L81" s="840"/>
      <c r="M81" s="840"/>
      <c r="N81" s="840"/>
      <c r="O81" s="840"/>
    </row>
    <row r="82" spans="1:15" ht="18.600000000000001" customHeight="1" x14ac:dyDescent="0.2">
      <c r="A82" s="933"/>
      <c r="B82" s="842"/>
      <c r="C82" s="842"/>
      <c r="D82" s="842"/>
      <c r="E82" s="840"/>
      <c r="F82" s="840"/>
      <c r="G82" s="840"/>
      <c r="H82" s="840"/>
      <c r="I82" s="840"/>
      <c r="J82" s="840"/>
      <c r="K82" s="840"/>
      <c r="L82" s="840"/>
      <c r="M82" s="840"/>
      <c r="N82" s="840"/>
      <c r="O82" s="840"/>
    </row>
    <row r="83" spans="1:15" ht="18.600000000000001" customHeight="1" x14ac:dyDescent="0.2">
      <c r="A83" s="933"/>
      <c r="B83" s="842"/>
      <c r="C83" s="842"/>
      <c r="D83" s="842"/>
      <c r="E83" s="840"/>
      <c r="F83" s="840"/>
      <c r="G83" s="840"/>
      <c r="H83" s="840"/>
      <c r="I83" s="840"/>
      <c r="J83" s="840"/>
      <c r="K83" s="840"/>
      <c r="L83" s="840"/>
      <c r="M83" s="840"/>
      <c r="N83" s="840"/>
      <c r="O83" s="840"/>
    </row>
    <row r="84" spans="1:15" ht="18.600000000000001" customHeight="1" x14ac:dyDescent="0.2">
      <c r="A84" s="933"/>
      <c r="B84" s="842"/>
      <c r="C84" s="842"/>
      <c r="D84" s="842"/>
      <c r="E84" s="840"/>
      <c r="F84" s="840"/>
      <c r="G84" s="840"/>
      <c r="H84" s="840"/>
      <c r="I84" s="840"/>
      <c r="J84" s="840"/>
      <c r="K84" s="840"/>
      <c r="L84" s="840"/>
      <c r="M84" s="840"/>
      <c r="N84" s="840"/>
      <c r="O84" s="840"/>
    </row>
    <row r="85" spans="1:15" ht="18.600000000000001" customHeight="1" x14ac:dyDescent="0.2">
      <c r="A85" s="933"/>
      <c r="B85" s="842"/>
      <c r="C85" s="842"/>
      <c r="D85" s="842"/>
      <c r="E85" s="840"/>
      <c r="F85" s="840"/>
      <c r="G85" s="840"/>
      <c r="H85" s="840"/>
      <c r="I85" s="840"/>
      <c r="J85" s="840"/>
      <c r="K85" s="840"/>
      <c r="L85" s="840"/>
      <c r="M85" s="840"/>
      <c r="N85" s="840"/>
      <c r="O85" s="840"/>
    </row>
    <row r="86" spans="1:15" ht="18.600000000000001" customHeight="1" x14ac:dyDescent="0.2">
      <c r="A86" s="933"/>
      <c r="B86" s="842"/>
      <c r="C86" s="842"/>
      <c r="D86" s="842"/>
      <c r="E86" s="840"/>
      <c r="F86" s="840"/>
      <c r="G86" s="840"/>
      <c r="H86" s="840"/>
      <c r="I86" s="840"/>
      <c r="J86" s="840"/>
      <c r="K86" s="840"/>
      <c r="L86" s="840"/>
      <c r="M86" s="840"/>
      <c r="N86" s="840"/>
      <c r="O86" s="840"/>
    </row>
    <row r="87" spans="1:15" ht="18.600000000000001" customHeight="1" x14ac:dyDescent="0.2">
      <c r="A87" s="933"/>
      <c r="B87" s="842"/>
      <c r="C87" s="842"/>
      <c r="D87" s="842"/>
      <c r="E87" s="840"/>
      <c r="F87" s="840"/>
      <c r="G87" s="840"/>
      <c r="H87" s="840"/>
      <c r="I87" s="840"/>
      <c r="J87" s="840"/>
      <c r="K87" s="840"/>
      <c r="L87" s="840"/>
      <c r="M87" s="840"/>
      <c r="N87" s="840"/>
      <c r="O87" s="840"/>
    </row>
    <row r="88" spans="1:15" ht="17.45" customHeight="1" x14ac:dyDescent="0.2">
      <c r="A88" s="933"/>
      <c r="B88" s="840"/>
      <c r="C88" s="840"/>
      <c r="D88" s="840"/>
      <c r="E88" s="840"/>
      <c r="F88" s="840"/>
      <c r="G88" s="840"/>
      <c r="H88" s="840"/>
      <c r="I88" s="840"/>
      <c r="J88" s="840"/>
      <c r="K88" s="840"/>
    </row>
    <row r="89" spans="1:15" ht="17.45" customHeight="1" x14ac:dyDescent="0.2">
      <c r="A89" s="933"/>
      <c r="B89" s="840"/>
      <c r="C89" s="840"/>
      <c r="D89" s="840"/>
      <c r="E89" s="840"/>
      <c r="F89" s="840"/>
      <c r="G89" s="840"/>
      <c r="H89" s="840"/>
      <c r="I89" s="840"/>
      <c r="J89" s="840"/>
      <c r="K89" s="840"/>
    </row>
    <row r="90" spans="1:15" ht="17.45" customHeight="1" x14ac:dyDescent="0.2">
      <c r="A90" s="933"/>
      <c r="B90" s="840"/>
      <c r="C90" s="840"/>
      <c r="D90" s="840"/>
      <c r="E90" s="840"/>
      <c r="F90" s="840"/>
      <c r="G90" s="840"/>
      <c r="H90" s="840"/>
      <c r="I90" s="840"/>
      <c r="J90" s="840"/>
      <c r="K90" s="840"/>
    </row>
    <row r="91" spans="1:15" ht="17.45" customHeight="1" x14ac:dyDescent="0.2">
      <c r="A91" s="933"/>
      <c r="B91" s="840"/>
      <c r="C91" s="840"/>
      <c r="D91" s="840"/>
      <c r="E91" s="840"/>
      <c r="F91" s="840"/>
      <c r="G91" s="840"/>
      <c r="H91" s="840"/>
      <c r="I91" s="840"/>
      <c r="J91" s="840"/>
      <c r="K91" s="840"/>
    </row>
    <row r="92" spans="1:15" ht="17.45" customHeight="1" x14ac:dyDescent="0.2">
      <c r="A92" s="933"/>
      <c r="B92" s="840"/>
      <c r="C92" s="840"/>
      <c r="D92" s="840"/>
      <c r="E92" s="840"/>
      <c r="F92" s="840"/>
      <c r="G92" s="840"/>
      <c r="H92" s="840"/>
      <c r="I92" s="840"/>
      <c r="J92" s="840"/>
      <c r="K92" s="840"/>
    </row>
    <row r="93" spans="1:15" ht="17.45" customHeight="1" x14ac:dyDescent="0.2">
      <c r="A93" s="933"/>
      <c r="B93" s="840"/>
      <c r="C93" s="840"/>
      <c r="D93" s="840"/>
      <c r="E93" s="840"/>
      <c r="F93" s="840"/>
      <c r="G93" s="840"/>
      <c r="H93" s="840"/>
      <c r="I93" s="840"/>
      <c r="J93" s="840"/>
      <c r="K93" s="840"/>
    </row>
    <row r="94" spans="1:15" ht="17.45" customHeight="1" x14ac:dyDescent="0.2">
      <c r="A94" s="933"/>
      <c r="B94" s="840"/>
      <c r="C94" s="840"/>
      <c r="D94" s="840"/>
      <c r="E94" s="840"/>
      <c r="F94" s="840"/>
      <c r="G94" s="840"/>
      <c r="H94" s="840"/>
      <c r="I94" s="840"/>
      <c r="J94" s="840"/>
      <c r="K94" s="840"/>
    </row>
    <row r="95" spans="1:15" ht="17.45" customHeight="1" x14ac:dyDescent="0.2">
      <c r="A95" s="933"/>
      <c r="B95" s="840"/>
      <c r="C95" s="840"/>
      <c r="D95" s="840"/>
      <c r="E95" s="840"/>
      <c r="F95" s="840"/>
      <c r="G95" s="840"/>
      <c r="H95" s="840"/>
      <c r="I95" s="840"/>
      <c r="J95" s="840"/>
      <c r="K95" s="840"/>
    </row>
    <row r="96" spans="1:15" ht="17.45" customHeight="1" x14ac:dyDescent="0.2">
      <c r="A96" s="933"/>
      <c r="B96" s="840"/>
      <c r="C96" s="840"/>
      <c r="D96" s="840"/>
      <c r="E96" s="840"/>
      <c r="F96" s="840"/>
      <c r="G96" s="840"/>
      <c r="H96" s="840"/>
      <c r="I96" s="840"/>
      <c r="J96" s="840"/>
      <c r="K96" s="840"/>
    </row>
    <row r="97" spans="1:15" ht="17.45" customHeight="1" x14ac:dyDescent="0.2">
      <c r="A97" s="933"/>
      <c r="B97" s="840"/>
      <c r="C97" s="840"/>
      <c r="D97" s="840"/>
      <c r="E97" s="840"/>
      <c r="F97" s="840"/>
      <c r="G97" s="840"/>
      <c r="H97" s="840"/>
      <c r="I97" s="840"/>
      <c r="J97" s="840"/>
      <c r="K97" s="840"/>
    </row>
    <row r="98" spans="1:15" ht="17.45" customHeight="1" x14ac:dyDescent="0.2">
      <c r="A98" s="933"/>
      <c r="B98" s="840"/>
      <c r="C98" s="840"/>
      <c r="D98" s="840"/>
      <c r="E98" s="840"/>
      <c r="F98" s="840"/>
      <c r="G98" s="842"/>
      <c r="H98" s="840"/>
      <c r="I98" s="840"/>
      <c r="J98" s="840"/>
      <c r="K98" s="840"/>
    </row>
    <row r="99" spans="1:15" ht="20.100000000000001" customHeight="1" x14ac:dyDescent="0.25">
      <c r="B99" s="1629" t="s">
        <v>319</v>
      </c>
      <c r="C99" s="1629"/>
      <c r="D99" s="1629"/>
      <c r="E99" s="1629"/>
    </row>
    <row r="100" spans="1:15" ht="18.600000000000001" customHeight="1" x14ac:dyDescent="0.2">
      <c r="I100" s="846"/>
      <c r="L100" s="869"/>
    </row>
    <row r="101" spans="1:15" ht="18.600000000000001" customHeight="1" x14ac:dyDescent="0.2"/>
    <row r="102" spans="1:15" ht="18.600000000000001" customHeight="1" x14ac:dyDescent="0.2"/>
    <row r="103" spans="1:15" ht="18.600000000000001" customHeight="1" x14ac:dyDescent="0.2">
      <c r="G103" s="703"/>
      <c r="J103" s="703"/>
    </row>
    <row r="104" spans="1:15" ht="18.600000000000001" customHeight="1" x14ac:dyDescent="0.2">
      <c r="F104" s="840"/>
      <c r="G104" s="840"/>
      <c r="I104" s="840"/>
      <c r="J104" s="840"/>
      <c r="L104" s="840"/>
      <c r="O104" s="840"/>
    </row>
    <row r="105" spans="1:15" ht="20.100000000000001" customHeight="1" thickBot="1" x14ac:dyDescent="0.3">
      <c r="B105" s="1635"/>
      <c r="C105" s="1635"/>
      <c r="D105" s="1635"/>
      <c r="E105" s="1635"/>
      <c r="F105" s="1635"/>
      <c r="G105" s="975"/>
      <c r="H105" s="974"/>
      <c r="I105" s="1637"/>
      <c r="J105" s="1637"/>
      <c r="K105" s="1637"/>
      <c r="L105" s="974"/>
      <c r="M105" s="974"/>
    </row>
    <row r="106" spans="1:15" ht="18.600000000000001" customHeight="1" x14ac:dyDescent="0.2">
      <c r="B106" s="1636" t="s">
        <v>277</v>
      </c>
      <c r="C106" s="1636"/>
      <c r="D106" s="1636"/>
      <c r="E106" s="1636"/>
      <c r="F106" s="1636"/>
      <c r="G106" s="976"/>
      <c r="H106" s="840"/>
      <c r="I106" s="1636" t="s">
        <v>543</v>
      </c>
      <c r="J106" s="1636"/>
      <c r="K106" s="1636"/>
      <c r="L106" s="881"/>
      <c r="M106" s="881"/>
      <c r="N106" s="870"/>
    </row>
    <row r="107" spans="1:15" ht="18.600000000000001" customHeight="1" x14ac:dyDescent="0.2">
      <c r="B107" s="1628" t="e">
        <f>VLOOKUP(G103,'DATOS % '!$A$157:$D$160,4,FALSE)</f>
        <v>#N/A</v>
      </c>
      <c r="C107" s="1628"/>
      <c r="D107" s="1628"/>
      <c r="E107" s="1628"/>
      <c r="F107" s="1628"/>
      <c r="G107" s="977"/>
      <c r="H107" s="977"/>
      <c r="I107" s="1639" t="e">
        <f>VLOOKUP(J103,'DATOS % '!A157:F160,6,FALSE)</f>
        <v>#N/A</v>
      </c>
      <c r="J107" s="1639"/>
      <c r="K107" s="1639"/>
      <c r="L107" s="881"/>
      <c r="M107" s="870"/>
      <c r="N107" s="870"/>
    </row>
    <row r="108" spans="1:15" ht="18.600000000000001" customHeight="1" x14ac:dyDescent="0.2">
      <c r="B108" s="1628" t="e">
        <f>VLOOKUP(G103,'DATOS % '!$A$157:$D$160,2,FALSE)</f>
        <v>#N/A</v>
      </c>
      <c r="C108" s="1628"/>
      <c r="D108" s="1628"/>
      <c r="E108" s="1628"/>
      <c r="F108" s="1628"/>
      <c r="G108" s="842"/>
      <c r="H108" s="840"/>
      <c r="I108" s="1639" t="e">
        <f>VLOOKUP(J103,'DATOS % '!A157:F160,2,FALSE)</f>
        <v>#N/A</v>
      </c>
      <c r="J108" s="1639"/>
      <c r="K108" s="1639"/>
      <c r="L108" s="881"/>
      <c r="M108" s="870"/>
      <c r="N108" s="870"/>
    </row>
    <row r="109" spans="1:15" ht="18.600000000000001" customHeight="1" x14ac:dyDescent="0.2">
      <c r="L109" s="869"/>
    </row>
    <row r="110" spans="1:15" ht="18.600000000000001" customHeight="1" x14ac:dyDescent="0.2">
      <c r="B110" s="1624" t="s">
        <v>502</v>
      </c>
      <c r="C110" s="1624"/>
      <c r="D110" s="1624"/>
      <c r="E110" s="1624"/>
      <c r="F110" s="1619" t="s">
        <v>506</v>
      </c>
      <c r="G110" s="1619"/>
      <c r="H110" s="1631" t="s">
        <v>503</v>
      </c>
      <c r="I110" s="1632"/>
      <c r="J110" s="1632"/>
      <c r="K110" s="973" t="s">
        <v>507</v>
      </c>
      <c r="L110" s="973"/>
      <c r="M110" s="1630"/>
      <c r="N110" s="1630"/>
      <c r="O110" s="1630"/>
    </row>
    <row r="111" spans="1:15" ht="18.600000000000001" customHeight="1" x14ac:dyDescent="0.2">
      <c r="L111" s="869"/>
    </row>
    <row r="112" spans="1:15" ht="18.600000000000001" customHeight="1" x14ac:dyDescent="0.2">
      <c r="B112" s="1625" t="s">
        <v>320</v>
      </c>
      <c r="C112" s="1625"/>
      <c r="D112" s="1626"/>
      <c r="E112" s="1626"/>
      <c r="F112" s="1626"/>
      <c r="G112" s="1626"/>
      <c r="H112" s="1626"/>
      <c r="I112" s="1626"/>
      <c r="J112" s="1626"/>
      <c r="K112" s="1626"/>
      <c r="L112" s="844"/>
      <c r="M112" s="844"/>
      <c r="N112" s="844"/>
      <c r="O112" s="844"/>
    </row>
  </sheetData>
  <sheetProtection algorithmName="SHA-512" hashValue="9bNA/bMH+MDsIcLixiIZ7X81qobGw1qB8xB0hiKSaBiuncMEFQA0OWvdWKMUctFyPa4Mh/+JIcgnp+UDED89GQ==" saltValue="aubfMHdzlX37aWCv45JuEA==" spinCount="100000" sheet="1" objects="1" scenarios="1"/>
  <mergeCells count="49">
    <mergeCell ref="B23:D23"/>
    <mergeCell ref="F23:H23"/>
    <mergeCell ref="I106:K106"/>
    <mergeCell ref="I107:K107"/>
    <mergeCell ref="I108:K108"/>
    <mergeCell ref="B78:K78"/>
    <mergeCell ref="A73:K73"/>
    <mergeCell ref="A74:K74"/>
    <mergeCell ref="B76:D76"/>
    <mergeCell ref="B112:K112"/>
    <mergeCell ref="B21:E21"/>
    <mergeCell ref="B17:E17"/>
    <mergeCell ref="M71:N71"/>
    <mergeCell ref="B99:E99"/>
    <mergeCell ref="B43:N43"/>
    <mergeCell ref="M110:O110"/>
    <mergeCell ref="B110:E110"/>
    <mergeCell ref="H110:J110"/>
    <mergeCell ref="F110:G110"/>
    <mergeCell ref="B77:K77"/>
    <mergeCell ref="B105:F105"/>
    <mergeCell ref="B106:F106"/>
    <mergeCell ref="B107:F107"/>
    <mergeCell ref="B108:F108"/>
    <mergeCell ref="I105:K105"/>
    <mergeCell ref="M3:N3"/>
    <mergeCell ref="B4:E4"/>
    <mergeCell ref="I4:J4"/>
    <mergeCell ref="F16:I16"/>
    <mergeCell ref="B7:D7"/>
    <mergeCell ref="F7:L7"/>
    <mergeCell ref="B8:D8"/>
    <mergeCell ref="F8:I8"/>
    <mergeCell ref="B10:E10"/>
    <mergeCell ref="F10:G10"/>
    <mergeCell ref="H10:J10"/>
    <mergeCell ref="K10:L10"/>
    <mergeCell ref="B12:L12"/>
    <mergeCell ref="B14:E14"/>
    <mergeCell ref="B6:D6"/>
    <mergeCell ref="F6:L6"/>
    <mergeCell ref="F14:K14"/>
    <mergeCell ref="B18:D18"/>
    <mergeCell ref="B19:D19"/>
    <mergeCell ref="B20:D20"/>
    <mergeCell ref="B15:E15"/>
    <mergeCell ref="F15:I15"/>
    <mergeCell ref="F17:G17"/>
    <mergeCell ref="H17:I17"/>
  </mergeCells>
  <pageMargins left="0.70866141732283472" right="0.70866141732283472" top="0.74803149606299213" bottom="0.74803149606299213" header="0.31496062992125984" footer="0.31496062992125984"/>
  <pageSetup scale="75" orientation="portrait" horizontalDpi="300" verticalDpi="300" r:id="rId1"/>
  <headerFooter>
    <oddHeader>&amp;C
INFORME  DE INSTRUMENTOS DE PESAJE 
DE FUNCIONAMIENTO NO AUTOMÁTICO - IPFNA, NO APTOS.</oddHeader>
    <oddFooter>&amp;R
RT03-F18  Vr. 3 (2021-05-21)
Página  &amp;P de &amp;N</oddFooter>
  </headerFooter>
  <rowBreaks count="1" manualBreakCount="1">
    <brk id="72" max="10" man="1"/>
  </rowBreaks>
  <colBreaks count="1" manualBreakCount="1">
    <brk id="1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'DATOS % '!$A$157:$A$160</xm:f>
          </x14:formula1>
          <xm:sqref>G103 J103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DATOS % </vt:lpstr>
      <vt:lpstr>RT03-F12 %</vt:lpstr>
      <vt:lpstr> CMC %</vt:lpstr>
      <vt:lpstr>Pc % </vt:lpstr>
      <vt:lpstr>Max y MIN %</vt:lpstr>
      <vt:lpstr> RT03-F15 %</vt:lpstr>
      <vt:lpstr> RT03-F39 %</vt:lpstr>
      <vt:lpstr>RT03-F18  %</vt:lpstr>
      <vt:lpstr>' CMC %'!Área_de_impresión</vt:lpstr>
      <vt:lpstr>' RT03-F15 %'!Área_de_impresión</vt:lpstr>
      <vt:lpstr>' RT03-F39 %'!Área_de_impresión</vt:lpstr>
      <vt:lpstr>'Max y MIN %'!Área_de_impresión</vt:lpstr>
      <vt:lpstr>'Pc % '!Área_de_impresión</vt:lpstr>
      <vt:lpstr>'RT03-F12 %'!Área_de_impresión</vt:lpstr>
      <vt:lpstr>'RT03-F18  %'!Área_de_impresión</vt:lpstr>
      <vt:lpstr>' RT03-F15 %'!Print_Area</vt:lpstr>
      <vt:lpstr>' RT03-F39 %'!Print_Area</vt:lpstr>
      <vt:lpstr>'DATOS % '!Print_Area</vt:lpstr>
      <vt:lpstr>'RT03-F12 %'!Print_Area</vt:lpstr>
      <vt:lpstr>' RT03-F15 %'!Print_Titles</vt:lpstr>
      <vt:lpstr>' RT03-F39 %'!Print_Titles</vt:lpstr>
      <vt:lpstr>'RT03-F12 %'!Print_Titles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Laboratorio de Masa</dc:creator>
  <cp:lastModifiedBy>PERSONAL</cp:lastModifiedBy>
  <cp:lastPrinted>2021-05-10T23:31:16Z</cp:lastPrinted>
  <dcterms:created xsi:type="dcterms:W3CDTF">2016-06-28T20:23:39Z</dcterms:created>
  <dcterms:modified xsi:type="dcterms:W3CDTF">2021-05-24T23:55:00Z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